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800" activeTab="1"/>
  </bookViews>
  <sheets>
    <sheet name="ต้นฉบับ" sheetId="1" r:id="rId1"/>
    <sheet name="แผนรับ-จ่าย ปีงบ 60" sheetId="2" r:id="rId2"/>
    <sheet name="งบลงทุนเงินบำรุง" sheetId="3" r:id="rId3"/>
  </sheets>
  <definedNames>
    <definedName name="_xlnm.Print_Titles" localSheetId="1">'แผนรับ-จ่าย ปีงบ 60'!$1:$3</definedName>
    <definedName name="SAPBEXsysID" hidden="1">"BWP"</definedName>
  </definedNames>
  <calcPr fullCalcOnLoad="1"/>
</workbook>
</file>

<file path=xl/comments1.xml><?xml version="1.0" encoding="utf-8"?>
<comments xmlns="http://schemas.openxmlformats.org/spreadsheetml/2006/main">
  <authors>
    <author>FINANCE</author>
    <author>Sma_tr. New 2009 !!!!</author>
  </authors>
  <commentList>
    <comment ref="A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ปรับแก้ไขรับUC ตามปรับเกลียใหม่</t>
        </r>
      </text>
    </comment>
    <comment ref="A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QOF</t>
        </r>
      </text>
    </comment>
    <comment ref="A1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เพิ่มเติมจากแผนเดิมในส่วนของค่าตอบแทนกำลังคนที่จะได้รับในปี 58</t>
        </r>
      </text>
    </comment>
    <comment ref="A1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หมายถึง งบ PP ที่ได้รับเหมาจ่ายในปี 58</t>
        </r>
      </text>
    </comment>
    <comment ref="A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เป็นเงิน Hardship</t>
        </r>
      </text>
    </comment>
    <comment ref="A3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แผนปี 59 ยังไม่ได้ใส่ข้อมูล</t>
        </r>
      </text>
    </comment>
    <comment ref="A87" authorId="1">
      <text>
        <r>
          <rPr>
            <b/>
            <sz val="9"/>
            <rFont val="Tahoma"/>
            <family val="0"/>
          </rPr>
          <t>การจ่ายเงินค่าตอบแทน จนท.ที่ปฏิบัติงานในหน่วยบริการในช่วงนอกเวลาราชการและ จนท.ที่ปฏิบัตินอกหน่วยหรือต่างหน่วยทั้งในและนอกเวลาราชการ</t>
        </r>
      </text>
    </comment>
    <comment ref="A9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ใน Planfin ค่าล่วงเวลาอยู่ในชื่อ เงินเดือนและค่าจ้างประจำ</t>
        </r>
      </text>
    </comment>
    <comment ref="A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ให้แก้ไขตัดหนี้งบลงทุนในส่วนเจ้าหนี้งบลงทุน
</t>
        </r>
      </text>
    </comment>
    <comment ref="A16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สนับสนุนโดยโอนเงินให้ รพ.สต.</t>
        </r>
      </text>
    </comment>
    <comment ref="A16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QOF , ผลงานแพทย์แผนไทย, OPINDIV, ค่าตอบแทน ฉ.8</t>
        </r>
      </text>
    </comment>
    <comment ref="A1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รวมเงินที่โอนให้ รพ.ต่างหน่วยบริการ</t>
        </r>
      </text>
    </comment>
    <comment ref="A1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จำนวนเงินที่สามารถลงทุน ถ้าตัวเลขสีแดง ไม่ควรผ่านการอนุมัติเนื่องจากไม่เงินเหลือเพื่อการลงทุน</t>
        </r>
      </text>
    </comment>
    <comment ref="A1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ตัวเลขติดลบสีแดง  ต้องนำเสนอ ผู้ตรวจราชการพิจารณาอนุมัติ</t>
        </r>
      </text>
    </comment>
  </commentList>
</comments>
</file>

<file path=xl/comments2.xml><?xml version="1.0" encoding="utf-8"?>
<comments xmlns="http://schemas.openxmlformats.org/spreadsheetml/2006/main">
  <authors>
    <author>FINANCE</author>
    <author>User</author>
    <author>Sma_tr. New 2009 !!!!</author>
    <author>user</author>
  </authors>
  <commentList>
    <comment ref="A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ปรับแก้ไขรับUC ตามปรับเกลียใหม่</t>
        </r>
      </text>
    </comment>
    <comment ref="A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QOF</t>
        </r>
      </text>
    </comment>
    <comment ref="A1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เพิ่มเติมจากแผนเดิมในส่วนของค่าตอบแทนกำลังคนที่จะได้รับในปี 58</t>
        </r>
      </text>
    </comment>
    <comment ref="A1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หมายถึง งบ PP ที่ได้รับเหมาจ่ายในปี 58</t>
        </r>
      </text>
    </comment>
    <comment ref="A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เป็นเงิน Hardship</t>
        </r>
      </text>
    </comment>
    <comment ref="A38" authorId="0">
      <text>
        <r>
          <rPr>
            <b/>
            <sz val="9"/>
            <rFont val="Tahoma"/>
            <family val="2"/>
          </rPr>
          <t>เบิกยาจาก สปสช</t>
        </r>
      </text>
    </comment>
    <comment ref="A9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ใน Planfin ค่าล่วงเวลาอยู่ในชื่อ เงินเดือนและค่าจ้างประจำ</t>
        </r>
      </text>
    </comment>
    <comment ref="A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ให้แก้ไขตัดหนี้งบลงทุนในส่วนเจ้าหนี้งบลงทุน
</t>
        </r>
      </text>
    </comment>
    <comment ref="A16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สนับสนุนโดยโอนเงินให้ รพ.สต.</t>
        </r>
      </text>
    </comment>
    <comment ref="A16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QOF , ผลงานแพทย์แผนไทย, OPINDIV, ค่าตอบแทน ฉ.8</t>
        </r>
      </text>
    </comment>
    <comment ref="A1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รวมเงินที่โอนให้ รพ.ต่างหน่วยบริการ</t>
        </r>
      </text>
    </comment>
    <comment ref="C7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เงินสนับสนุนจากสถาบันรับรองคุณภาพ+รายได้บุคคลที่มีปัญหาสถานะและสิทธิ์
</t>
        </r>
      </text>
    </comment>
    <comment ref="C1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จ้างเหมาอื่น+ซักรีด
</t>
        </r>
      </text>
    </comment>
    <comment ref="A87" authorId="2">
      <text>
        <r>
          <rPr>
            <b/>
            <sz val="9"/>
            <rFont val="Tahoma"/>
            <family val="0"/>
          </rPr>
          <t>การจ่ายเงินค่าตอบแทน จนท.ที่ปฏิบัติงานในหน่วยบริการในช่วงนอกเวลาราชการและ จนท.ที่ปฏิบัตินอกหน่วยหรือต่างหน่วยทั้งในและนอกเวลาราชการ</t>
        </r>
      </text>
    </comment>
    <comment ref="A63" authorId="3">
      <text>
        <r>
          <rPr>
            <sz val="8"/>
            <rFont val="Tahoma"/>
            <family val="0"/>
          </rPr>
          <t xml:space="preserve">รับโอนเงิน  พตส.ของข้าราชการ
</t>
        </r>
      </text>
    </comment>
    <comment ref="A31" authorId="3">
      <text>
        <r>
          <rPr>
            <sz val="8"/>
            <rFont val="Tahoma"/>
            <family val="0"/>
          </rPr>
          <t xml:space="preserve">งานOPD ขอเปิดคีลนิคโรคไตวาย
</t>
        </r>
      </text>
    </comment>
    <comment ref="A84" authorId="3">
      <text>
        <r>
          <rPr>
            <sz val="8"/>
            <rFont val="Tahoma"/>
            <family val="0"/>
          </rPr>
          <t xml:space="preserve">ค่าตอบแทน ฉ8
</t>
        </r>
      </text>
    </comment>
    <comment ref="D108" authorId="3">
      <text>
        <r>
          <rPr>
            <sz val="9"/>
            <rFont val="Tahoma"/>
            <family val="0"/>
          </rPr>
          <t>1.โครงการESB 1,000,000 บ.
2.โครงการ พัฒนาคุณภาพบริการและอื่นๆ
เป็นเงิน 150,000 บ.</t>
        </r>
      </text>
    </comment>
    <comment ref="D158" authorId="3">
      <text>
        <r>
          <rPr>
            <b/>
            <sz val="9"/>
            <rFont val="Tahoma"/>
            <family val="0"/>
          </rPr>
          <t xml:space="preserve">20% ของเงินบำรุง
1.ครุภัณฑ์คอม ฯ 480,000 
2.ครุภัณฑ์สำนักงาน 247893.45
3.ครุภัณฑ์งานบ้านงานครัว 20,000
4.ครุภัณฑ์ประปา 30,000
5.ครุภัณฑ์เกษตร 15,000
6.ครุภัณฑ์ไฟฟ้า46,051
7.สร้างรางระบายน้ำ รพ.สต.ห้วยหิน 300,000 
</t>
        </r>
      </text>
    </comment>
    <comment ref="D13" authorId="3">
      <text>
        <r>
          <rPr>
            <b/>
            <sz val="9"/>
            <rFont val="Tahoma"/>
            <family val="0"/>
          </rPr>
          <t>ปรับเพิ่ม  15 %</t>
        </r>
      </text>
    </comment>
    <comment ref="D133" authorId="3">
      <text>
        <r>
          <rPr>
            <b/>
            <sz val="9"/>
            <rFont val="Tahoma"/>
            <family val="0"/>
          </rPr>
          <t>1.เภสัช 350,000 บาท
2.กลุ่มการ  2,000,000 บาท
3.ออกซิเจน  240,000 บาท</t>
        </r>
      </text>
    </comment>
    <comment ref="D145" authorId="3">
      <text>
        <r>
          <rPr>
            <b/>
            <sz val="9"/>
            <rFont val="Tahoma"/>
            <family val="0"/>
          </rPr>
          <t>อาหารผู้ป่วย</t>
        </r>
      </text>
    </comment>
    <comment ref="D146" authorId="3">
      <text>
        <r>
          <rPr>
            <b/>
            <sz val="9"/>
            <rFont val="Tahoma"/>
            <family val="0"/>
          </rPr>
          <t>ผ้าผู้ป่วย</t>
        </r>
      </text>
    </comment>
    <comment ref="D150" authorId="3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ให้คิดตามจ่ายจริง</t>
        </r>
      </text>
    </comment>
    <comment ref="D80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ค่าตอบแทนค่ากลางของโรงพยาบาลหนองหงส์ 9 ล้านบาท</t>
        </r>
      </text>
    </comment>
    <comment ref="D160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ลดไอเทมของ รพ.สต.ว่าจะตัดอะไรออกได้</t>
        </r>
      </text>
    </comment>
    <comment ref="D162" authorId="3">
      <text>
        <r>
          <rPr>
            <b/>
            <sz val="9"/>
            <rFont val="Tahoma"/>
            <family val="2"/>
          </rPr>
          <t>1.ยา ฝ่ายเภสัช =1,800,000
2.วัสดุการแพทย์ทันตะฯ=45,000
3.วัสดุการแพทย์เภสัช=84,108
4.วัสดุการแพทย์กลุ่มการ=280,206
5.วัสดุวิทยาศาสตร์=113,730
6.วัสดุงานบ้าน=37,850
7.ยาฝ่ายทันตะฯ=5,000</t>
        </r>
      </text>
    </comment>
  </commentList>
</comments>
</file>

<file path=xl/sharedStrings.xml><?xml version="1.0" encoding="utf-8"?>
<sst xmlns="http://schemas.openxmlformats.org/spreadsheetml/2006/main" count="644" uniqueCount="373">
  <si>
    <t>รายการ</t>
  </si>
  <si>
    <t>รวม</t>
  </si>
  <si>
    <t>คิดเป็นเปอร์เซ็น</t>
  </si>
  <si>
    <t>รับจ่ายจริงเฉลี่ย/เดือน</t>
  </si>
  <si>
    <t>ส่วนต่างของแผนและรับจ่ายจริง</t>
  </si>
  <si>
    <t>หมายเหตุ</t>
  </si>
  <si>
    <t>1. รายรับ UC</t>
  </si>
  <si>
    <t>1.1 กองทุนผู้ป่วยนอก</t>
  </si>
  <si>
    <t xml:space="preserve">   1.1.1 เหมาจ่ายรายหัว</t>
  </si>
  <si>
    <t xml:space="preserve">   1.1.2  P4P ปฐมภูมิ</t>
  </si>
  <si>
    <t xml:space="preserve">   1.1.3  สนับสนุนพัฒนาระบบ OP/PP รายบุคคล</t>
  </si>
  <si>
    <t xml:space="preserve">   1.1.4  ส่งเสริมบริการปฐมภูมิ (On top)</t>
  </si>
  <si>
    <t xml:space="preserve">   1.1.5  พัฒนาศักยภาพปฐมภูมิ (On top)</t>
  </si>
  <si>
    <t xml:space="preserve">    1.1.6  สนับสนุน ผลิตพัฒนาและกระจายบุคลากร</t>
  </si>
  <si>
    <t xml:space="preserve">   1.1.7 อื่นๆ</t>
  </si>
  <si>
    <t>1.2 กองทุนผู้ป่วยใน</t>
  </si>
  <si>
    <t>1.3 กองทุนสร้างเสริมสุขภาพและป้องกันโรค</t>
  </si>
  <si>
    <t>1.4 กองทุน Central Reimburse</t>
  </si>
  <si>
    <t>1.5 งบค่าเสื่อม (งบลงทุน)</t>
  </si>
  <si>
    <t>1.6 กองทุนฟื้นฟูสมรรถภาพด้านการแพทย์</t>
  </si>
  <si>
    <t>1.7 งบบริการเพิ่มเติมสำหรับหน่วยบริการที่มีต้นทุนคงที่สูง</t>
  </si>
  <si>
    <t>1.8 งบจ่ายตามเกณฑ์คุณภาพผลงานบริการ</t>
  </si>
  <si>
    <t>1.9 งบแพทย์แผนไทย</t>
  </si>
  <si>
    <t>1.10 งบบริการทันตกรรมรักษาในเด็กและทันตกรรมประดิษฐ์</t>
  </si>
  <si>
    <t>1.11 กองทุนเอดส์</t>
  </si>
  <si>
    <t>1.12 กองทุนไตวายเรื้อรัง</t>
  </si>
  <si>
    <t>1.13ค่าบริการควบคุมป้องกันความรุนแรงของโรคเบาหวานและความดันโลหิตสูง</t>
  </si>
  <si>
    <t>1.14 งบบริการสุขภาพผู้ป่วยจิตเวช</t>
  </si>
  <si>
    <t>1.15 Audit</t>
  </si>
  <si>
    <t xml:space="preserve">         - UC นอก CUP ในจังหวัด</t>
  </si>
  <si>
    <t xml:space="preserve">         - UC นอก CUP นอกจังหวัด</t>
  </si>
  <si>
    <t xml:space="preserve">         -UC ต่างสังกัด สป.</t>
  </si>
  <si>
    <t>2. รายได้ค่ารักษาพยาบาลสิทธิข้าราชการ(เบิกคลัง)</t>
  </si>
  <si>
    <t>รวมรายรับ</t>
  </si>
  <si>
    <t>รายจ่าย</t>
  </si>
  <si>
    <t>1. ค่าจ้างลูกจ้างชั่วคราว</t>
  </si>
  <si>
    <t xml:space="preserve">   1.1  ค่าจ้างพนักงานกระทรวงสาธารณสุข</t>
  </si>
  <si>
    <t xml:space="preserve">   1.2  ค่าจ้างเหมาบุคลากร</t>
  </si>
  <si>
    <t xml:space="preserve">   1.3  ค่าจ้างลูกจ้างชั่วคราว</t>
  </si>
  <si>
    <t>2. ค่าตอบแทน</t>
  </si>
  <si>
    <t xml:space="preserve">   2.1 เงินเพิ่มไม่ทำเวชปฏิบัติ แพทย์</t>
  </si>
  <si>
    <t xml:space="preserve">   2.2 เงินเพิ่มไม่ทำเวชปฏิบัติ ทันตแพทย์</t>
  </si>
  <si>
    <t xml:space="preserve">   2.3 เงินเพิ่มไม่ทำเวชปฏิบัติ เภสัชกร</t>
  </si>
  <si>
    <t>3. เงินสมทบประกันสังคมส่วนนายจ้าง</t>
  </si>
  <si>
    <t>4. ค่าใช้จ่ายด้านบุคลากรอื่นๆ(ถ้ามีให้ระบุรายละเอียด)</t>
  </si>
  <si>
    <t xml:space="preserve">     4.1 ค่าตอบแทนแพทย์สาขาส่งเสริมพิเศษ</t>
  </si>
  <si>
    <t xml:space="preserve">     4.3..................................................................</t>
  </si>
  <si>
    <t xml:space="preserve">     4.4..................................................................</t>
  </si>
  <si>
    <t xml:space="preserve">     4.5..................................................................</t>
  </si>
  <si>
    <t>รวมค่าใช้จ่ายด้านบุคลากร</t>
  </si>
  <si>
    <t>1. ค่าใช้สอย</t>
  </si>
  <si>
    <t xml:space="preserve">   1.1 ค่าใช้จ่ายเดินทางไปราชการ</t>
  </si>
  <si>
    <t xml:space="preserve">   1.2 ค่าใช้จ่ายในการฝึกอบรม</t>
  </si>
  <si>
    <t xml:space="preserve">   1.3 ค่าใช้จ่ายโครงการ</t>
  </si>
  <si>
    <t xml:space="preserve">      1.3.1 โครงการ P&amp;P</t>
  </si>
  <si>
    <t xml:space="preserve">      1.3.2 โครงการ (นอกเหนือจากเงิน PP)</t>
  </si>
  <si>
    <t xml:space="preserve">   1.4 ค่าซ่อมแซมบำรุงรักษาที่ดิน/สิ่งก่อสร้าง</t>
  </si>
  <si>
    <t xml:space="preserve">   1.5 ซ่อมยานพาหนะ</t>
  </si>
  <si>
    <t xml:space="preserve">   1.6 ค่าซ่อมแซมบำรุงรักษาครุภัณฑ์การแพทย์</t>
  </si>
  <si>
    <t xml:space="preserve">   1.7 ค่าซ่อมแซมบำรุงรักษาครุภัณฑ์อื่นๆ (สนง. , ไฟฟ้าและวิทยุ,คอมฯ ,ครุภัณฑ์อื่น)</t>
  </si>
  <si>
    <t xml:space="preserve">   1.8 ค่าจ้างเหมาทำความสะอาด</t>
  </si>
  <si>
    <t xml:space="preserve">   1.9 ค่าจ้างรักษาความปลอดภัย</t>
  </si>
  <si>
    <t xml:space="preserve">   1.10 ค่าจ้างเหมากำจัดขยะ</t>
  </si>
  <si>
    <t xml:space="preserve">   1.11 ค่าจ้างเหมาบำรุงรักษาสวน</t>
  </si>
  <si>
    <t xml:space="preserve">   1.12 จ้างเหมาประกอบอาหารให้ผู้ป่วย</t>
  </si>
  <si>
    <t xml:space="preserve">   1.13 ค่าจ้างตรวจทางห้องปฏิบัติการ</t>
  </si>
  <si>
    <t xml:space="preserve">   1.14 ค่าจ้างตรวจทางห้องปฏิบัติการ(Lab)</t>
  </si>
  <si>
    <t xml:space="preserve">   1.15 ค่าจ้างตรวจทางห้องปฏิบัติการ(X-Ray)</t>
  </si>
  <si>
    <t xml:space="preserve">   1.16 ค่าจ้างเหมาบริการอื่นๆ</t>
  </si>
  <si>
    <t xml:space="preserve">   1.17 ค่าธรรมเนียมธนาคาร</t>
  </si>
  <si>
    <t xml:space="preserve">   1.18 ค่าใช้จ่ายด้านสังคมสงเคราะห์</t>
  </si>
  <si>
    <t>2. ค่าสาธารณูปโภค</t>
  </si>
  <si>
    <t xml:space="preserve">   2.1 ค่าไฟฟ้า</t>
  </si>
  <si>
    <t xml:space="preserve">   2.2 ค่าน้ำประปา</t>
  </si>
  <si>
    <t xml:space="preserve">   2.3 ค่าโทรศัพท์</t>
  </si>
  <si>
    <t xml:space="preserve">   2.4 ค่าบริการสื่อสารและโทรคมนาคม</t>
  </si>
  <si>
    <t xml:space="preserve">   2.5 ค่าไปรษณีย์</t>
  </si>
  <si>
    <t>3. ค่าวัสดุ</t>
  </si>
  <si>
    <t xml:space="preserve">   3.1 ค่ายา</t>
  </si>
  <si>
    <t xml:space="preserve">   3.2 ค่าเวชภัณฑ์ไม่ใช่ยา</t>
  </si>
  <si>
    <t xml:space="preserve">   3.3 ค่าวัสดุการแพทย์  </t>
  </si>
  <si>
    <t xml:space="preserve">   3.4 ค่าวัสดุวิทยาศาสตร์การแพทย์(Lab)</t>
  </si>
  <si>
    <t xml:space="preserve">   3.5 ค่าวัสดุวิทยาศาสตร์การแพทย์(X-Ray)</t>
  </si>
  <si>
    <t xml:space="preserve">   3.6 ค่าวัสดุทันตกรรม</t>
  </si>
  <si>
    <t xml:space="preserve">   3.7 ค่าวัสดุน้ำมันเชื้อเพลิง</t>
  </si>
  <si>
    <t xml:space="preserve">   3.8 ค่าวัสดุอื่นๆ</t>
  </si>
  <si>
    <t xml:space="preserve">   3.9 ค่าครุภัณฑ์ต่ำกว่าเกณฑ์</t>
  </si>
  <si>
    <t>4. ค่ารักษาพยาบาลตามจ่าย</t>
  </si>
  <si>
    <r>
      <t xml:space="preserve">   </t>
    </r>
    <r>
      <rPr>
        <sz val="14"/>
        <rFont val="TH SarabunPSK"/>
        <family val="2"/>
      </rPr>
      <t>- UC นอก CUP ในจังหวัด</t>
    </r>
  </si>
  <si>
    <t xml:space="preserve">   - UC นอก CUP ต่างจังหวัด</t>
  </si>
  <si>
    <t xml:space="preserve">   - ค่ารักษาตามจ่ายแรงงานต่างด้าว</t>
  </si>
  <si>
    <t xml:space="preserve">   -ค่ารักษาตามจ่ายต่างสังกัด สป.</t>
  </si>
  <si>
    <t xml:space="preserve">  -บุคคลที่มีปัญหาสถานะและสิทธิ</t>
  </si>
  <si>
    <t>5. รายจ่ายงบลงทุน(ค่าครุภัณฑ์/สิ่งก่อสร้าง)</t>
  </si>
  <si>
    <t>6. งบสนับสนุน รพ.สต. /สอ. /PCU ในเครือข่าย</t>
  </si>
  <si>
    <t xml:space="preserve">    6.2  ค่ายา/เวชภัณฑ์มิใช่ยา/วัสดุการแพทย์/วัสดุอื่นๆ</t>
  </si>
  <si>
    <t xml:space="preserve">    6.3  งบลงทุน UC </t>
  </si>
  <si>
    <t>7. รายจ่ายอื่นๆ (ระบุประเภท)</t>
  </si>
  <si>
    <t xml:space="preserve">    7.1 ค่าใช้จ่ายโครงการผลิตบุคลากรทางการแพทย์</t>
  </si>
  <si>
    <t xml:space="preserve">    7.2 ค่าเบี้ยประกันภัย</t>
  </si>
  <si>
    <t xml:space="preserve">    7.3 ค่าใช้จ่ายอื่นๆ ครุภัณฑ์ ที่ดิน อาคาร และสิ่งก่อสร้าง</t>
  </si>
  <si>
    <t xml:space="preserve">    7.4 ค่าใช้จ่ายลักษณะอื่นๆ</t>
  </si>
  <si>
    <t>รวมค่าใช้จ่ายจากการดำเนินงาน</t>
  </si>
  <si>
    <t>รวมรายจ่าย</t>
  </si>
  <si>
    <t>สรุปรายรับ สูง (ต่ำ) กว่ารายจ่าย</t>
  </si>
  <si>
    <t xml:space="preserve">                      เงินคงเหลือ</t>
  </si>
  <si>
    <t xml:space="preserve">                      เจ้าหนี้การค้า</t>
  </si>
  <si>
    <t xml:space="preserve">                      ค่าใช้จ่ายค้างจ่าย</t>
  </si>
  <si>
    <t xml:space="preserve">                      งบลงทุน UC</t>
  </si>
  <si>
    <t xml:space="preserve">                      รวมหนี้สินที่ต้องจ่าย</t>
  </si>
  <si>
    <t xml:space="preserve">                      ยอดเงินคงเหลือทั้งสิ้น</t>
  </si>
  <si>
    <t>แผนประมาณการรายรับ-รายจ่ายเงินบำรุง และรับ-จ่าย จริง ปีงบประมาณ 2560</t>
  </si>
  <si>
    <t>แผนปี 60</t>
  </si>
  <si>
    <t>รับจ่ายจริงปี 59</t>
  </si>
  <si>
    <t>ต.ค.59</t>
  </si>
  <si>
    <t xml:space="preserve">    6.4  ค่าใช้จ่ายอื่นๆ โอนให้ รพสต. (นอกเหนือจาก Fixed cost)</t>
  </si>
  <si>
    <t>3. รายได้ค่ารักษาพยาบาลสิทธิเบิกจ่ายตรง-กทม.</t>
  </si>
  <si>
    <t>4. รายได้ค่ารักษาพยาบาลสิทธิเบิกจ่ายตรง-อปท.</t>
  </si>
  <si>
    <t>5. รายได้ค่ารักษาพยาบาลสิทธิเบิกต้นสังกัด</t>
  </si>
  <si>
    <t>6. รายได้ค่ารักษาพยาบาลสิทธิกองทุนประกันสังคม</t>
  </si>
  <si>
    <t>7. รายได้ค่ารักษาพยาบาลสิทธิ พ.ร.บ.</t>
  </si>
  <si>
    <t>8. รายได้ค่ารักษาพยาบาลสิทธิแรงงานต่างด้าว</t>
  </si>
  <si>
    <t>9. รายได้ค่ารักษาพยาบาลสิทธิบุคคลที่มีปัญหาสถานะและสิทธิ</t>
  </si>
  <si>
    <t>10. รายได้ค่ารักษาพยาบาลสิทธิเงินชำระเอง</t>
  </si>
  <si>
    <t>11. รายรับเงินอุดหนุนจาก อปท.</t>
  </si>
  <si>
    <t>12. รายรับอื่นๆ (ระบุประเภท)</t>
  </si>
  <si>
    <t xml:space="preserve">     12.1  ดอกเบี้ยเงินฝากธนาคาร</t>
  </si>
  <si>
    <t xml:space="preserve">     12.3 รายได้ค่าธรรมเนียม UC  (30 บาท)</t>
  </si>
  <si>
    <t xml:space="preserve">     12.4  รายได้ OPD อื่น (เงิน OP/PP) (รับจาก สสจ.)</t>
  </si>
  <si>
    <t xml:space="preserve">     12.5  รายได้กองทุน UC อื่น (รับจาก สสจ.)</t>
  </si>
  <si>
    <t xml:space="preserve">     12.6  รายได้จากกองทุน UC ตามผลงาน (รับจาก สสจ.)</t>
  </si>
  <si>
    <t xml:space="preserve">     12.7 รายได้ PP อื่น (จาก สสจ.)</t>
  </si>
  <si>
    <t xml:space="preserve">     12.8  รายได้ EMS</t>
  </si>
  <si>
    <t xml:space="preserve">     12.9  เงินงบประมาณ  (งปม.รับโอนจาก สสจ.)</t>
  </si>
  <si>
    <t xml:space="preserve">     12.10  เงินนอกงบประมาณ รับโอน.</t>
  </si>
  <si>
    <t xml:space="preserve">     12.11 รายได้ค่าปรับ  </t>
  </si>
  <si>
    <t xml:space="preserve">     12.12  ค่าธรรมเนียมอื่นๆ</t>
  </si>
  <si>
    <t xml:space="preserve">     12.13  ค่าใบรับรองแพทย์</t>
  </si>
  <si>
    <t xml:space="preserve">     12.14  รายได้จากโครงการผลิตแพทย์</t>
  </si>
  <si>
    <t xml:space="preserve">     12.15  รายได้ค่าบริหารจัดการประกันสังคม</t>
  </si>
  <si>
    <t xml:space="preserve">     12.16  รายได้ค่าตรวจสุขภาพและสิ่งส่งตรวจ/ขายสินค้าต่างๆ</t>
  </si>
  <si>
    <t xml:space="preserve">     12.17  รายได้กองทุนแรงงานต่างด้าว</t>
  </si>
  <si>
    <t xml:space="preserve">     12.19  รายได้หน่วยงานรัฐ/บุคคลภายนอก/ค่าเช่า/หน่วยงานอื่น</t>
  </si>
  <si>
    <t xml:space="preserve">     12.18  รายได้กองทุนบุคคลที่มีปัญหาสถานะและสิทธิ</t>
  </si>
  <si>
    <t xml:space="preserve">     12.20  รายรับอื่นๆ</t>
  </si>
  <si>
    <t xml:space="preserve">   2.6 ค่าตอบแทนพยาบาลเวร บ่าย-ดึก</t>
  </si>
  <si>
    <t xml:space="preserve">   2.7 ค่าตอบแทนในการปฏิบัติงานของเจ้าหน้าที่   (บริการ)</t>
  </si>
  <si>
    <t xml:space="preserve">   2.8 ค่าตอบแทนในการปฏิบัติงานของเจ้าหน้าที่  (สนับสนุน)</t>
  </si>
  <si>
    <t xml:space="preserve">   2.9 ค่าตอบแทนตามผลการปฏิบัติงาน (P4P) บริการ</t>
  </si>
  <si>
    <t xml:space="preserve">   2.10ค่าตอบแทนตามผลการปฏิบัติงาน (P4P) สนับสนุน </t>
  </si>
  <si>
    <t xml:space="preserve">      3.8.1 วัสดุสำนักงาน</t>
  </si>
  <si>
    <t>ณ.30 ก.ย. 2559</t>
  </si>
  <si>
    <t>ณ.31  ตค. 2559</t>
  </si>
  <si>
    <t>ณ 31 ธค..2559</t>
  </si>
  <si>
    <t>ณ 31ม.ค.2560</t>
  </si>
  <si>
    <t>สถานะเงินบำรุง ณ  30   กันยายน  2559</t>
  </si>
  <si>
    <t>ณ 28 กพ.2560</t>
  </si>
  <si>
    <t>ณ 31 มีค.2560</t>
  </si>
  <si>
    <t>ณ 30 เมย.2560</t>
  </si>
  <si>
    <t>ณ 31 พค..2560</t>
  </si>
  <si>
    <t>ณ 30 มิย.2560</t>
  </si>
  <si>
    <t>ณ 31 กค.2560</t>
  </si>
  <si>
    <t>ณ 31 สค.2560</t>
  </si>
  <si>
    <t>ณ 30 ก.ย. 2560</t>
  </si>
  <si>
    <t>พ.ย.59</t>
  </si>
  <si>
    <t>ธ.ค.59</t>
  </si>
  <si>
    <t>ม.ค.60</t>
  </si>
  <si>
    <t>ก.พ.60</t>
  </si>
  <si>
    <t>มี.ค.60</t>
  </si>
  <si>
    <t>เม.ย.60</t>
  </si>
  <si>
    <t>พ.ค.60</t>
  </si>
  <si>
    <t>มิ.ย.60</t>
  </si>
  <si>
    <t>ก.ค.60</t>
  </si>
  <si>
    <t>ส.ค.60</t>
  </si>
  <si>
    <t>ก.ย.60</t>
  </si>
  <si>
    <t>1.17 งบค่าตอบแทนกำลังคนด้านสาธารณสุข</t>
  </si>
  <si>
    <t xml:space="preserve">1.16  เงิน CF </t>
  </si>
  <si>
    <t xml:space="preserve">   2.5 ค่าตอบแทน (พ.ต.ส.- เงินงบประมาณ)</t>
  </si>
  <si>
    <t xml:space="preserve">   5.1 งบลงทุน UC </t>
  </si>
  <si>
    <t xml:space="preserve">   5.2 งบลงทุนเงินบำรุง</t>
  </si>
  <si>
    <t xml:space="preserve">   5.3 งบลงทุน UC ที่ได้รับแต่ไม่สามารถดำเนินการให้แล้วเสร็จภายในปีที่ได้รับเงิน</t>
  </si>
  <si>
    <t xml:space="preserve">   6.1  Fixed cost</t>
  </si>
  <si>
    <t xml:space="preserve">    6.5  เงินรับฝากที่ รพ.รับไว้เพื่อโอนให้ รพ.สต.</t>
  </si>
  <si>
    <t xml:space="preserve">     12.2  รายได้จากการรับบริจาค</t>
  </si>
  <si>
    <t xml:space="preserve">   2.4 ค่าเบี้ยเลี้ยงเหมาจ่าย </t>
  </si>
  <si>
    <t xml:space="preserve">   1.3.1 งบ PP สำหรับบริการที่มีความเด่นชัด แบบเหมาจ่าย (PP EXP)</t>
  </si>
  <si>
    <t xml:space="preserve">   1.3.2 งบ PPCAP</t>
  </si>
  <si>
    <t xml:space="preserve">   1.3.3 งบค่าบริการทันตฯส่งเสริมป้องกัน</t>
  </si>
  <si>
    <t xml:space="preserve">   1.3.4 กองทุนท้องถิ่น</t>
  </si>
  <si>
    <t xml:space="preserve">   1.3.5 ค่าวัคซีนไข้หวัดตามฤดูกาล</t>
  </si>
  <si>
    <t xml:space="preserve">   1.3.6 งบจัดซื้อจัดจ้างระดับประเทศ</t>
  </si>
  <si>
    <t xml:space="preserve">   1.3.7 PP Non Uc</t>
  </si>
  <si>
    <t xml:space="preserve">   1.3.8 อื่นๆ</t>
  </si>
  <si>
    <t xml:space="preserve">   2.11 ค่าตอบแทน (พ.ต.ส.- เงินนอกงบประมาณ)</t>
  </si>
  <si>
    <t xml:space="preserve">   2.12 ค่าล่วงเวลา</t>
  </si>
  <si>
    <t xml:space="preserve">   2.13 ค่าตอบแทนชันสูตรพลิกศพ</t>
  </si>
  <si>
    <t xml:space="preserve">   2.14 ค่าตอบแทนอื่นๆ(ถ้ามีให้ระบุรายละเอียด)</t>
  </si>
  <si>
    <t>1.18 งบค่าบริการสาธารณสุขสำหรับผู้สูงอายุที่มีภาวะพึ่งพิง</t>
  </si>
  <si>
    <t>1.19 รายได้กองทุน UC -สนับสนุนยาและอื่นๆ</t>
  </si>
  <si>
    <t xml:space="preserve"> 1.20 รายรับจากการตามจ่ายของสถานบริการอื่น (ตามเรียกเก็บจริง)</t>
  </si>
  <si>
    <t xml:space="preserve">        3.8.2 วัสดุยานพาหนะและขนส่ง</t>
  </si>
  <si>
    <t xml:space="preserve">        3.8.3 วัสดุไฟฟ้าและวิทยุ</t>
  </si>
  <si>
    <t xml:space="preserve">        3.8.4 วัสดุโฆษณาและเผยแพร่</t>
  </si>
  <si>
    <t xml:space="preserve">        3.8.5 วัสดุคอมพิวเตอร์</t>
  </si>
  <si>
    <t xml:space="preserve">        3.8.6 วัสดุงานบ้านงานครัว</t>
  </si>
  <si>
    <t xml:space="preserve">        3.8.7 วัสดุบริโภค</t>
  </si>
  <si>
    <t xml:space="preserve">        3.8.8 วัสดุเครื่องแต่งกาย</t>
  </si>
  <si>
    <t xml:space="preserve">        3.8.9 วัสดุก่อสร้าง</t>
  </si>
  <si>
    <t xml:space="preserve">        3.8.10 วัสดุอื่นๆ</t>
  </si>
  <si>
    <t>แผนปี 60/เดือน</t>
  </si>
  <si>
    <t>ของโรงพยาบาลหนองหงส์ จังหวัดบุรีรัมย์</t>
  </si>
  <si>
    <t>ณ 19 กย 59</t>
  </si>
  <si>
    <t xml:space="preserve">     4.2 กองทุนสำรองเลี้ยงชีพ พกส.</t>
  </si>
  <si>
    <t>แผนปี 59ปรับ6เดือน</t>
  </si>
  <si>
    <t>จำนวน</t>
  </si>
  <si>
    <t>โน๊ตบุ๊ค</t>
  </si>
  <si>
    <t>เครื่องปริ้นHP</t>
  </si>
  <si>
    <t>คอมพิวเตอร์ตั้งโต๊ะ</t>
  </si>
  <si>
    <t>สวิตช์Firewall</t>
  </si>
  <si>
    <t>คอมพิวเตอร์Server</t>
  </si>
  <si>
    <t>acess switch</t>
  </si>
  <si>
    <t>เครื่องปริ้นฉลากยา</t>
  </si>
  <si>
    <t>ปั้มจ่ายคลอรีน</t>
  </si>
  <si>
    <t>เครื่องตัดหญ้าแบบสะพาย</t>
  </si>
  <si>
    <t>เครื่องตัดแต่งกิ่งไม้ไฟฟ้า</t>
  </si>
  <si>
    <t>หน่วยบริการ</t>
  </si>
  <si>
    <t>ราคาต่อหน่วย</t>
  </si>
  <si>
    <t>ราคารวม</t>
  </si>
  <si>
    <t>รวมแต่ละหน่วย</t>
  </si>
  <si>
    <t>รพ.สต.ห้วยหิน</t>
  </si>
  <si>
    <t xml:space="preserve">ก่อสร้างรางระบายน้ำ   </t>
  </si>
  <si>
    <t>รายการวัสดุครุภัณฑ์ ที่ขอเสนออนุมัติ ปี 2560  จากเงินบำรุง รพ.หนองหงส์ (ที่นอกเหนือจ่ายงบค่าเสื่อม ปี 2560)</t>
  </si>
  <si>
    <t>โภชนาการ</t>
  </si>
  <si>
    <t>กระติกน้ำร้อน</t>
  </si>
  <si>
    <t>ที่คว่ำจานสแตนเลส</t>
  </si>
  <si>
    <t>หม้อหุงข้าวแก๊ส</t>
  </si>
  <si>
    <t>ประกันสุขภาพฯ</t>
  </si>
  <si>
    <t>ต่อเติมห้องเวชระเบียน</t>
  </si>
  <si>
    <t>ทำฝ้าเพดาน</t>
  </si>
  <si>
    <t>ชั้นแฟ้มใส่เวชระเบียน</t>
  </si>
  <si>
    <t>บริหาร</t>
  </si>
  <si>
    <t>เครื่องแฟก</t>
  </si>
  <si>
    <t>เครื่องวัดอุณหภูมิและความชื่น</t>
  </si>
  <si>
    <t>เครื่องวัดอุณหภูมิ</t>
  </si>
  <si>
    <t>ผู้ป่วยนอก</t>
  </si>
  <si>
    <t>เครื่องปรับอากาศ</t>
  </si>
  <si>
    <t>ผู้ป่วยใน</t>
  </si>
  <si>
    <t>รวมจัดซื้อเงินบำรุงทั้งสิ้น</t>
  </si>
  <si>
    <t>เหตุผล (ให้ระบุรายละเอียด)</t>
  </si>
  <si>
    <t>งานไอที</t>
  </si>
  <si>
    <t>แทนตัวเดิมที่เสียใช้งานไม่ได้  เพื่อใช้ตรวจสอบคุณภาพข้อมูล</t>
  </si>
  <si>
    <t>แทนตัวเดิมที่ซ่อมบ่อยอายุเกิน 10 ปี ไม่รองรับระบบโปรแกรมใหม่ๆในระบบเรียกเก็บ</t>
  </si>
  <si>
    <t>งานสุขาภิบาลฯ</t>
  </si>
  <si>
    <t>เพื่อความปลอดภัยของข้อมูลและจัดการข้อมูล  ระบบแสดงตนของผู้ใช้บริการ</t>
  </si>
  <si>
    <t>Serverเดิมไม่รองรับการปรับปรุงระบบเพื่อจัดเก็บข้อมูลผู้ป่วยให้ครบถ้วนสมบูรณ์</t>
  </si>
  <si>
    <t>แทนตัวเดิมที่ชำรุด ใช้ในระบบการส่งผู้ป่วยรักษษต่อในแผนกต่างๆ</t>
  </si>
  <si>
    <t>แทนตัวเดิมที่ชำรุด ใช้ในจ่ายคลอรีนในระบบบำบัดน้ำเสียของโรงพยาบาล</t>
  </si>
  <si>
    <t xml:space="preserve">แทนตัวเดิมที่ชำรุด </t>
  </si>
  <si>
    <t>งานเภสัชกรรมฯ</t>
  </si>
  <si>
    <t>ไม่มีรางระบายน้ำ  น้ำท่วมตอนฝนตก ให้บริการผู้ป่วยไม่ได้ อุปกรณ์เสียหาย</t>
  </si>
  <si>
    <t>แทนตัวเดิมที่ชำรุด  สำหรับปริ๊นฉลากยาของผู้ป่วย</t>
  </si>
  <si>
    <t xml:space="preserve">เพื่อวัดอุณหภูมิและความชื่น ห้องที่จัดเก็บยา </t>
  </si>
  <si>
    <t>เพื่อวัดอุณหภูมิในตู้เย็นที่เก็บวัคซีน และวัสดุยา</t>
  </si>
  <si>
    <t>การจัดเก็บภาชนะใส่อาหารของผู้ป่วยตอนล้างเสร็จไม่ได้มาตรฐาน</t>
  </si>
  <si>
    <t>ชำรุด  เพื่อความสะอาดในการประกอบอาหารของผู้ป่วย</t>
  </si>
  <si>
    <t>ห้องเดิมไม่เพียงพอในการจัดเก็บเวชระเบียนผู้ป่วย จำเป็นต้องขยายห้อง</t>
  </si>
  <si>
    <t>ไม่เพียงพอในการจัดเก็บเวชระเบียนผู้ป่วย  ต้องเรียงกองใว้กับพื้น</t>
  </si>
  <si>
    <t>ทดแทนตัวเดิมที่ชำรุด</t>
  </si>
  <si>
    <t>ทดแทนตัวเดิมที่ชำรุด ห้องให้คำปรึกษาและให้ความรู้ผู้ป่วยปรับเปลี่ยนพฤติกรรม</t>
  </si>
  <si>
    <t>ทดแทนตัวเดิมที่ชำรุด ห้องผู้ป่วยพิเศษ</t>
  </si>
  <si>
    <t>แทนตัวเดิมที่ชำรุด  เพื่อตกแต่งกิ่งไม้ในสวนของโรงพยาบาลให้สวยงาม</t>
  </si>
  <si>
    <t>แทนตัวเดิมที่ชำรุด  เพื่อตัดหญ้าในสวนของโรงพยาบาลให้สวยงาม</t>
  </si>
  <si>
    <t>แทนเครื่งเดิมที่ชำรุดใช้งานไม่ได้ ในจุดส่งประวัติผู้ป่วยรักษาต่อแผนกต่างๆ</t>
  </si>
  <si>
    <t xml:space="preserve">แทนตัวเดิมที่ชำรุด  </t>
  </si>
  <si>
    <t>Group Code / Service Plan</t>
  </si>
  <si>
    <t>15 F2</t>
  </si>
  <si>
    <t>10908 รพ.หนองหงส์</t>
  </si>
  <si>
    <t xml:space="preserve">     4.2  เงินสมทบสำรองเลี้ยงชีพ พกส.</t>
  </si>
  <si>
    <r>
      <t xml:space="preserve">   </t>
    </r>
    <r>
      <rPr>
        <sz val="16"/>
        <rFont val="TH SarabunPSK"/>
        <family val="2"/>
      </rPr>
      <t>- UC นอก CUP ในจังหวัด</t>
    </r>
  </si>
  <si>
    <t xml:space="preserve"> EBITDA รายรับหักรายจ่าย (ไม่รวมงบลงทุน)</t>
  </si>
  <si>
    <t>งบลงทุนเปรียบเทียบกับ EBITDA 20%</t>
  </si>
  <si>
    <t>แผนงบลงทุน เงินบำรุง</t>
  </si>
  <si>
    <t>ส่วนต่าง EBITDA 20% - แผนงบลงทุน</t>
  </si>
  <si>
    <t>เงินรับฝาก - ที่รอโอนให้ รพ.สต.</t>
  </si>
  <si>
    <t>เงินคงเหลือหลังหัก รายรับ- รายจ่าย(รวมงบลงทุน)</t>
  </si>
  <si>
    <t>เงินคงเหลือหลังหัก รายรับ- รายจ่าย(ไม่รวมงบลงทุน)</t>
  </si>
  <si>
    <t>รายรับ UC ใน Planfin</t>
  </si>
  <si>
    <t xml:space="preserve">                      เงินรับฝาก ที่รอโอนให้ รพ.สต.</t>
  </si>
  <si>
    <t>แผนปี 57/เดือน</t>
  </si>
  <si>
    <t>สินค้าระหว่างผลิด</t>
  </si>
  <si>
    <t>เวชภัณฑ์ยา</t>
  </si>
  <si>
    <t>วัสดุการแพทย์</t>
  </si>
  <si>
    <t>วัสดุวิทยาศาสตร์</t>
  </si>
  <si>
    <t>วัสดุสำนักงาน</t>
  </si>
  <si>
    <t>วัสดุไฟฟ้าและวิทยุ</t>
  </si>
  <si>
    <t>วัสดุคอมพิวเตอร์</t>
  </si>
  <si>
    <t>ค่าวัสดุงานบ้าน</t>
  </si>
  <si>
    <t>ค่าวัสดุบริโภค</t>
  </si>
  <si>
    <t>ค่าวัสดุก่อสร้าง</t>
  </si>
  <si>
    <t>ค่าวัสดุอื่น</t>
  </si>
  <si>
    <t>ค่าวัสดุทันตกรรม</t>
  </si>
  <si>
    <t>รวมเงิน</t>
  </si>
  <si>
    <t>วัสดุบริโภค</t>
  </si>
  <si>
    <t>วัสดุน้ำมันเชื้อเพลิง</t>
  </si>
  <si>
    <t>วัสดุเครื่องแต่งกาย</t>
  </si>
  <si>
    <t>วัสดุงานบ้าน-งานครัว</t>
  </si>
  <si>
    <t>วัสดุยานพาหนะ</t>
  </si>
  <si>
    <t>วัสดุก่อสร้าง</t>
  </si>
  <si>
    <t>วัสดุโฆษณาฯ</t>
  </si>
  <si>
    <t>วัสดุอื่น</t>
  </si>
  <si>
    <t>ค่าซ่อมแซมอาคารและสิ่งปลูกสร้าง</t>
  </si>
  <si>
    <t>ค่าซ่อมครุภัณฑ์สำนักงาน</t>
  </si>
  <si>
    <t>ค่าซ่อมครุภัณฑ์ยานพาหนะ</t>
  </si>
  <si>
    <t>ค่าซ่อมครุภัณฑ์ไฟฟ้า</t>
  </si>
  <si>
    <t>ค่าซ่อมครุภัณฑ์การแพทย์</t>
  </si>
  <si>
    <t>ค่าซ่อมครุภัณฑ์คอมพิวเตอร์</t>
  </si>
  <si>
    <t>ค่าซ่อมครุภัณฑ์งานบ้าน-งานครัว</t>
  </si>
  <si>
    <t>ค่าซ่อมครุภัณฑ์อื่น</t>
  </si>
  <si>
    <t>ครุภัณฑ์ต่ำกว่าเกณฑ์ฯ</t>
  </si>
  <si>
    <t>ค่าจ้างเหมาทำความสะอาด</t>
  </si>
  <si>
    <t>ค่าจ้างเหมาซักรีด</t>
  </si>
  <si>
    <t>ค่าจ้างเหมาบริการ</t>
  </si>
  <si>
    <t>ครุภัณฑ์ยานพาหนะ</t>
  </si>
  <si>
    <t>ครุภัณฑ์สำนักงาน</t>
  </si>
  <si>
    <t>ครุภัณฑ์ไฟฟ้า</t>
  </si>
  <si>
    <t>ครุภัณฑ์โฆษณา</t>
  </si>
  <si>
    <t>ครุภัณฑ์ก่อสร้าง</t>
  </si>
  <si>
    <t>ครุภัณฑ์การเกษตร</t>
  </si>
  <si>
    <t>ครุภัณฑ์การแพทย์</t>
  </si>
  <si>
    <t>ครุภัณฑ์งานบ้าน-งานครัว</t>
  </si>
  <si>
    <t>ครุภัณฑ์คอมพิวเตอร์</t>
  </si>
  <si>
    <t>ครุภัณฑ์อื่นๆ</t>
  </si>
  <si>
    <t>เงินสมทบประกันสังคมส่วนนายจ้าง</t>
  </si>
  <si>
    <t>ใบสำคัญค้างจ่าย(เงินนอกงบประมาณ)</t>
  </si>
  <si>
    <t>ค่าตอบแทนค้างจ่าย(บริการ)</t>
  </si>
  <si>
    <t>ค่าตอบแทนค้างจ่าย(สนับสนุน)</t>
  </si>
  <si>
    <t>ค่าสาธารณูปโภค</t>
  </si>
  <si>
    <t>เจ้าหนี้ค่ารักษาOPDUCนอกCUPในจ.</t>
  </si>
  <si>
    <t>เจ้าหนี้ค่ารักษาOPDUCนอกCUP ต่างจังหวัด</t>
  </si>
  <si>
    <t>เจ้าหนี้ค่ารักษาOPDUCต่างสังกัด</t>
  </si>
  <si>
    <t>เงินรับฝากอื่น(หมุนเวียน)</t>
  </si>
  <si>
    <t>เงินมัดจำค่ารักษาพยาบาล</t>
  </si>
  <si>
    <t>ภาษีเงินได้หัก ณที่จ่าย</t>
  </si>
  <si>
    <t>เงินรับฝากกองทุน UC</t>
  </si>
  <si>
    <t>เงินรับฝากกองทุน UC(งบลงทุน)</t>
  </si>
  <si>
    <t>เงินสมทบประกันสังคมส่วนลูกจ้าง</t>
  </si>
  <si>
    <t>เงินรับฝากกองทุนแรงงานต่างด้าว</t>
  </si>
  <si>
    <t>รับจ่ายจริงปี59</t>
  </si>
  <si>
    <t>แผนปี60</t>
  </si>
  <si>
    <t>วัสดุเภสัชกรรม</t>
  </si>
  <si>
    <t>เจ้าหนี้วัสดุทันตกรรม</t>
  </si>
  <si>
    <t>เจ้าหนี้วัสดุเอกซเรย์</t>
  </si>
  <si>
    <t>เจ้าหนี้จ้างเหมาบริการทงการแพทย์</t>
  </si>
  <si>
    <t>เจ้าหนี้จ้างเหมาตรวจห้องปฏิบัติการ</t>
  </si>
  <si>
    <t>เจ้าหนี้งบลงทุนUC</t>
  </si>
  <si>
    <t>ค่าตอบแทนไม่ทำเวชฯ</t>
  </si>
  <si>
    <t>ค่าตอบแทนตมผลการปฏิบัติงาน (ล่วงเวลา)</t>
  </si>
  <si>
    <t>ค่าตอบแทนการปฏิบัติงานในลักษณ์ฯ ฉ10</t>
  </si>
  <si>
    <t>ค่าตอบแทนเพิ่มพิเศษ พตส นกองบประมาณ</t>
  </si>
  <si>
    <t>ค่าใช้จ่ายค้างจ่ายอื่น</t>
  </si>
  <si>
    <t>เงินรับฝากและเงินประกัน</t>
  </si>
  <si>
    <t>เจ้าหนี้การค้าและเจ้าหนี้อื่นเงินนอกงบประมาณ</t>
  </si>
  <si>
    <t>สิ้นค้าและวัสดุคงเหลือ</t>
  </si>
  <si>
    <t>วัสดุเอกซเรย์</t>
  </si>
  <si>
    <t xml:space="preserve">   3.2 ค่าวัสดุเภสัช</t>
  </si>
  <si>
    <t xml:space="preserve">   3.5 ค่าวัสดุเอกซเรย์</t>
  </si>
  <si>
    <t>เจ้าหนี้วัสดุเภสัชกรรม</t>
  </si>
  <si>
    <t>เงินรับฝากกองทุน UC วัสดุ</t>
  </si>
  <si>
    <t>เงินรับฝากกองทุน UC Fixed Cost</t>
  </si>
  <si>
    <t xml:space="preserve">                     </t>
  </si>
  <si>
    <t>ณ.30 พ.ย. 2559</t>
  </si>
  <si>
    <t xml:space="preserve">                                                           </t>
  </si>
  <si>
    <t xml:space="preserve">                      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</si>
</sst>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_-* #,##0_-;\-* #,##0_-;_-* &quot;-&quot;??_-;_-@_-"/>
    <numFmt numFmtId="198" formatCode="[$-D00041E]0.#"/>
    <numFmt numFmtId="199" formatCode="_(* #,##0.00_);_(* \(#,##0.00\);_(* &quot;-&quot;??_);_(@_)"/>
    <numFmt numFmtId="200" formatCode="0.000"/>
    <numFmt numFmtId="201" formatCode="0.0"/>
    <numFmt numFmtId="202" formatCode="_-* #,##0.0000_-;\-* #,##0.0000_-;_-* &quot;-&quot;??_-;_-@_-"/>
    <numFmt numFmtId="203" formatCode="_-* #,##0.000_-;\-* #,##0.000_-;_-* &quot;-&quot;??_-;_-@_-"/>
    <numFmt numFmtId="204" formatCode="_-* #,##0.0_-;\-* #,##0.0_-;_-* &quot;-&quot;??_-;_-@_-"/>
  </numFmts>
  <fonts count="96">
    <font>
      <sz val="11"/>
      <color indexed="8"/>
      <name val="Tahoma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b/>
      <sz val="9"/>
      <color indexed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9"/>
      <color indexed="10"/>
      <name val="TH SarabunPSK"/>
      <family val="2"/>
    </font>
    <font>
      <b/>
      <sz val="9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name val="Tahoma"/>
      <family val="0"/>
    </font>
    <font>
      <b/>
      <sz val="10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10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1"/>
      <name val="TH SarabunPSK"/>
      <family val="2"/>
    </font>
    <font>
      <sz val="12"/>
      <color indexed="8"/>
      <name val="Tahoma"/>
      <family val="2"/>
    </font>
    <font>
      <sz val="11"/>
      <name val="TH SarabunPSK"/>
      <family val="2"/>
    </font>
    <font>
      <sz val="10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Tahoma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thin"/>
      <right style="thin"/>
      <top/>
      <bottom style="hair"/>
    </border>
    <border>
      <left style="medium"/>
      <right/>
      <top style="hair"/>
      <bottom style="thin"/>
    </border>
    <border>
      <left style="medium"/>
      <right/>
      <top style="thin"/>
      <bottom style="double"/>
    </border>
    <border>
      <left style="thin"/>
      <right style="thin"/>
      <top style="double"/>
      <bottom style="hair"/>
    </border>
    <border>
      <left style="medium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3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98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98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98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98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198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98" fontId="17" fillId="7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98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98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98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98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98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98" fontId="17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2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98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98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98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98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98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98" fontId="18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12" borderId="0" applyNumberFormat="0" applyBorder="0" applyAlignment="0" applyProtection="0"/>
    <xf numFmtId="0" fontId="74" fillId="20" borderId="0" applyNumberFormat="0" applyBorder="0" applyAlignment="0" applyProtection="0"/>
    <xf numFmtId="0" fontId="74" fillId="25" borderId="0" applyNumberFormat="0" applyBorder="0" applyAlignment="0" applyProtection="0"/>
    <xf numFmtId="0" fontId="74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98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98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98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98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98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98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98" fontId="19" fillId="3" borderId="0" applyNumberFormat="0" applyBorder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198" fontId="20" fillId="30" borderId="1" applyNumberFormat="0" applyAlignment="0" applyProtection="0"/>
    <xf numFmtId="0" fontId="21" fillId="31" borderId="2" applyNumberFormat="0" applyAlignment="0" applyProtection="0"/>
    <xf numFmtId="0" fontId="21" fillId="31" borderId="2" applyNumberFormat="0" applyAlignment="0" applyProtection="0"/>
    <xf numFmtId="198" fontId="21" fillId="31" borderId="2" applyNumberFormat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8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198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198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198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198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198" fontId="31" fillId="7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198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198" fontId="33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198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 applyNumberFormat="0" applyFill="0" applyBorder="0" applyProtection="0">
      <alignment vertical="top"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198" fontId="7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35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Protection="0">
      <alignment vertical="top"/>
    </xf>
    <xf numFmtId="0" fontId="73" fillId="0" borderId="0">
      <alignment/>
      <protection/>
    </xf>
    <xf numFmtId="0" fontId="22" fillId="0" borderId="0">
      <alignment/>
      <protection/>
    </xf>
    <xf numFmtId="0" fontId="17" fillId="0" borderId="0" applyFill="0" applyProtection="0">
      <alignment/>
    </xf>
    <xf numFmtId="0" fontId="23" fillId="0" borderId="0">
      <alignment/>
      <protection/>
    </xf>
    <xf numFmtId="198" fontId="73" fillId="0" borderId="0">
      <alignment/>
      <protection/>
    </xf>
    <xf numFmtId="0" fontId="77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198" fontId="17" fillId="33" borderId="7" applyNumberFormat="0" applyFont="0" applyAlignment="0" applyProtection="0"/>
    <xf numFmtId="0" fontId="36" fillId="30" borderId="8" applyNumberFormat="0" applyAlignment="0" applyProtection="0"/>
    <xf numFmtId="0" fontId="36" fillId="30" borderId="8" applyNumberFormat="0" applyAlignment="0" applyProtection="0"/>
    <xf numFmtId="198" fontId="36" fillId="30" borderId="8" applyNumberForma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8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98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8" fontId="39" fillId="0" borderId="0" applyNumberFormat="0" applyFill="0" applyBorder="0" applyAlignment="0" applyProtection="0"/>
    <xf numFmtId="0" fontId="79" fillId="34" borderId="10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5" borderId="11" applyNumberFormat="0" applyAlignment="0" applyProtection="0"/>
    <xf numFmtId="0" fontId="84" fillId="0" borderId="12" applyNumberFormat="0" applyFill="0" applyAlignment="0" applyProtection="0"/>
    <xf numFmtId="0" fontId="85" fillId="36" borderId="0" applyNumberFormat="0" applyBorder="0" applyAlignment="0" applyProtection="0"/>
    <xf numFmtId="0" fontId="8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22" fillId="0" borderId="0">
      <alignment/>
      <protection/>
    </xf>
    <xf numFmtId="0" fontId="7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7" fillId="37" borderId="10" applyNumberFormat="0" applyAlignment="0" applyProtection="0"/>
    <xf numFmtId="0" fontId="88" fillId="38" borderId="0" applyNumberFormat="0" applyBorder="0" applyAlignment="0" applyProtection="0"/>
    <xf numFmtId="9" fontId="0" fillId="0" borderId="0" applyFont="0" applyFill="0" applyBorder="0" applyAlignment="0" applyProtection="0"/>
    <xf numFmtId="0" fontId="89" fillId="0" borderId="13" applyNumberFormat="0" applyFill="0" applyAlignment="0" applyProtection="0"/>
    <xf numFmtId="0" fontId="90" fillId="39" borderId="0" applyNumberFormat="0" applyBorder="0" applyAlignment="0" applyProtection="0"/>
    <xf numFmtId="0" fontId="40" fillId="0" borderId="0">
      <alignment/>
      <protection/>
    </xf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91" fillId="34" borderId="14" applyNumberFormat="0" applyAlignment="0" applyProtection="0"/>
    <xf numFmtId="0" fontId="0" fillId="46" borderId="15" applyNumberFormat="0" applyFont="0" applyAlignment="0" applyProtection="0"/>
    <xf numFmtId="0" fontId="92" fillId="0" borderId="16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94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vertical="top"/>
    </xf>
    <xf numFmtId="43" fontId="2" fillId="4" borderId="19" xfId="282" applyFont="1" applyFill="1" applyBorder="1" applyAlignment="1">
      <alignment horizontal="center" vertical="top"/>
    </xf>
    <xf numFmtId="197" fontId="2" fillId="3" borderId="19" xfId="282" applyNumberFormat="1" applyFont="1" applyFill="1" applyBorder="1" applyAlignment="1">
      <alignment horizontal="center" vertical="top"/>
    </xf>
    <xf numFmtId="49" fontId="2" fillId="4" borderId="19" xfId="282" applyNumberFormat="1" applyFont="1" applyFill="1" applyBorder="1" applyAlignment="1">
      <alignment horizontal="center" vertical="top"/>
    </xf>
    <xf numFmtId="197" fontId="2" fillId="6" borderId="19" xfId="282" applyNumberFormat="1" applyFont="1" applyFill="1" applyBorder="1" applyAlignment="1">
      <alignment horizontal="center" vertical="top"/>
    </xf>
    <xf numFmtId="197" fontId="3" fillId="0" borderId="19" xfId="282" applyNumberFormat="1" applyFont="1" applyFill="1" applyBorder="1" applyAlignment="1">
      <alignment horizontal="center" vertical="top"/>
    </xf>
    <xf numFmtId="197" fontId="2" fillId="0" borderId="19" xfId="282" applyNumberFormat="1" applyFont="1" applyFill="1" applyBorder="1" applyAlignment="1">
      <alignment horizontal="center" vertical="top"/>
    </xf>
    <xf numFmtId="197" fontId="2" fillId="0" borderId="0" xfId="282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3" fontId="2" fillId="6" borderId="19" xfId="282" applyFont="1" applyFill="1" applyBorder="1" applyAlignment="1" applyProtection="1">
      <alignment vertical="top" wrapText="1"/>
      <protection/>
    </xf>
    <xf numFmtId="43" fontId="3" fillId="0" borderId="19" xfId="282" applyFont="1" applyFill="1" applyBorder="1" applyAlignment="1" applyProtection="1">
      <alignment vertical="top" wrapText="1"/>
      <protection/>
    </xf>
    <xf numFmtId="43" fontId="2" fillId="0" borderId="19" xfId="282" applyFont="1" applyFill="1" applyBorder="1" applyAlignment="1" applyProtection="1">
      <alignment vertical="top" wrapText="1"/>
      <protection/>
    </xf>
    <xf numFmtId="43" fontId="4" fillId="0" borderId="19" xfId="282" applyFont="1" applyFill="1" applyBorder="1" applyAlignment="1" applyProtection="1">
      <alignment vertical="top" wrapText="1"/>
      <protection/>
    </xf>
    <xf numFmtId="43" fontId="4" fillId="0" borderId="20" xfId="282" applyFont="1" applyFill="1" applyBorder="1" applyAlignment="1" applyProtection="1">
      <alignment horizontal="center" vertical="top" wrapText="1"/>
      <protection/>
    </xf>
    <xf numFmtId="43" fontId="5" fillId="0" borderId="0" xfId="282" applyFont="1" applyFill="1" applyBorder="1" applyAlignment="1" applyProtection="1">
      <alignment horizontal="center" vertical="top" wrapText="1"/>
      <protection/>
    </xf>
    <xf numFmtId="43" fontId="2" fillId="0" borderId="21" xfId="282" applyFont="1" applyFill="1" applyBorder="1" applyAlignment="1" applyProtection="1">
      <alignment vertical="top" wrapText="1"/>
      <protection locked="0"/>
    </xf>
    <xf numFmtId="43" fontId="2" fillId="47" borderId="21" xfId="282" applyFont="1" applyFill="1" applyBorder="1" applyAlignment="1" applyProtection="1">
      <alignment vertical="top" wrapText="1"/>
      <protection locked="0"/>
    </xf>
    <xf numFmtId="43" fontId="3" fillId="0" borderId="21" xfId="282" applyFont="1" applyFill="1" applyBorder="1" applyAlignment="1" applyProtection="1">
      <alignment vertical="top" wrapText="1"/>
      <protection/>
    </xf>
    <xf numFmtId="43" fontId="2" fillId="0" borderId="21" xfId="282" applyFont="1" applyFill="1" applyBorder="1" applyAlignment="1" applyProtection="1">
      <alignment vertical="top" wrapText="1"/>
      <protection/>
    </xf>
    <xf numFmtId="43" fontId="4" fillId="47" borderId="21" xfId="282" applyFont="1" applyFill="1" applyBorder="1" applyAlignment="1" applyProtection="1">
      <alignment horizontal="center" vertical="top" wrapText="1"/>
      <protection/>
    </xf>
    <xf numFmtId="43" fontId="2" fillId="47" borderId="21" xfId="282" applyFont="1" applyFill="1" applyBorder="1" applyAlignment="1" applyProtection="1">
      <alignment horizontal="center" vertical="top" wrapText="1"/>
      <protection/>
    </xf>
    <xf numFmtId="43" fontId="2" fillId="0" borderId="21" xfId="282" applyFont="1" applyFill="1" applyBorder="1" applyAlignment="1" applyProtection="1">
      <alignment horizontal="center" vertical="top" wrapText="1"/>
      <protection/>
    </xf>
    <xf numFmtId="43" fontId="4" fillId="0" borderId="21" xfId="282" applyFont="1" applyFill="1" applyBorder="1" applyAlignment="1" applyProtection="1">
      <alignment vertical="top" wrapText="1"/>
      <protection locked="0"/>
    </xf>
    <xf numFmtId="43" fontId="5" fillId="0" borderId="0" xfId="282" applyFont="1" applyFill="1" applyBorder="1" applyAlignment="1" applyProtection="1">
      <alignment vertical="top" wrapText="1"/>
      <protection locked="0"/>
    </xf>
    <xf numFmtId="43" fontId="2" fillId="0" borderId="21" xfId="282" applyFont="1" applyBorder="1" applyAlignment="1" applyProtection="1">
      <alignment horizontal="center" vertical="top" wrapText="1"/>
      <protection locked="0"/>
    </xf>
    <xf numFmtId="43" fontId="2" fillId="47" borderId="21" xfId="282" applyFont="1" applyFill="1" applyBorder="1" applyAlignment="1" applyProtection="1">
      <alignment horizontal="center" vertical="top" wrapText="1"/>
      <protection locked="0"/>
    </xf>
    <xf numFmtId="43" fontId="6" fillId="0" borderId="0" xfId="282" applyFont="1" applyFill="1" applyBorder="1" applyAlignment="1" applyProtection="1">
      <alignment horizontal="center" vertical="top" wrapText="1"/>
      <protection locked="0"/>
    </xf>
    <xf numFmtId="43" fontId="6" fillId="0" borderId="0" xfId="282" applyFont="1" applyFill="1" applyBorder="1" applyAlignment="1" applyProtection="1">
      <alignment vertical="top" wrapText="1"/>
      <protection locked="0"/>
    </xf>
    <xf numFmtId="43" fontId="2" fillId="0" borderId="21" xfId="282" applyFont="1" applyFill="1" applyBorder="1" applyAlignment="1" applyProtection="1">
      <alignment horizontal="center" vertical="top" wrapText="1"/>
      <protection locked="0"/>
    </xf>
    <xf numFmtId="43" fontId="2" fillId="0" borderId="21" xfId="282" applyFont="1" applyFill="1" applyBorder="1" applyAlignment="1" applyProtection="1">
      <alignment vertical="top"/>
      <protection locked="0"/>
    </xf>
    <xf numFmtId="43" fontId="2" fillId="47" borderId="21" xfId="282" applyFont="1" applyFill="1" applyBorder="1" applyAlignment="1" applyProtection="1">
      <alignment vertical="top"/>
      <protection locked="0"/>
    </xf>
    <xf numFmtId="43" fontId="4" fillId="0" borderId="21" xfId="282" applyFont="1" applyFill="1" applyBorder="1" applyAlignment="1" applyProtection="1">
      <alignment vertical="top"/>
      <protection locked="0"/>
    </xf>
    <xf numFmtId="43" fontId="2" fillId="0" borderId="21" xfId="282" applyFont="1" applyBorder="1" applyAlignment="1" applyProtection="1">
      <alignment vertical="top" wrapText="1"/>
      <protection locked="0"/>
    </xf>
    <xf numFmtId="43" fontId="4" fillId="0" borderId="21" xfId="282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vertical="top"/>
    </xf>
    <xf numFmtId="43" fontId="2" fillId="0" borderId="22" xfId="282" applyFont="1" applyFill="1" applyBorder="1" applyAlignment="1" applyProtection="1">
      <alignment vertical="top" wrapText="1"/>
      <protection locked="0"/>
    </xf>
    <xf numFmtId="43" fontId="2" fillId="47" borderId="22" xfId="282" applyFont="1" applyFill="1" applyBorder="1" applyAlignment="1" applyProtection="1">
      <alignment vertical="top" wrapText="1"/>
      <protection locked="0"/>
    </xf>
    <xf numFmtId="43" fontId="2" fillId="0" borderId="22" xfId="282" applyFont="1" applyFill="1" applyBorder="1" applyAlignment="1" applyProtection="1">
      <alignment vertical="top" wrapText="1"/>
      <protection/>
    </xf>
    <xf numFmtId="43" fontId="4" fillId="0" borderId="22" xfId="282" applyFont="1" applyFill="1" applyBorder="1" applyAlignment="1" applyProtection="1">
      <alignment vertical="top" wrapText="1"/>
      <protection locked="0"/>
    </xf>
    <xf numFmtId="43" fontId="2" fillId="48" borderId="19" xfId="282" applyFont="1" applyFill="1" applyBorder="1" applyAlignment="1" applyProtection="1">
      <alignment horizontal="center" vertical="top" wrapText="1"/>
      <protection/>
    </xf>
    <xf numFmtId="43" fontId="4" fillId="0" borderId="19" xfId="282" applyFont="1" applyFill="1" applyBorder="1" applyAlignment="1" applyProtection="1">
      <alignment horizontal="center" vertical="top" wrapText="1"/>
      <protection/>
    </xf>
    <xf numFmtId="43" fontId="2" fillId="0" borderId="19" xfId="282" applyFont="1" applyBorder="1" applyAlignment="1" applyProtection="1">
      <alignment vertical="top"/>
      <protection/>
    </xf>
    <xf numFmtId="43" fontId="2" fillId="3" borderId="19" xfId="282" applyFont="1" applyFill="1" applyBorder="1" applyAlignment="1" applyProtection="1">
      <alignment vertical="top"/>
      <protection/>
    </xf>
    <xf numFmtId="43" fontId="2" fillId="0" borderId="19" xfId="282" applyFont="1" applyFill="1" applyBorder="1" applyAlignment="1" applyProtection="1">
      <alignment vertical="top"/>
      <protection/>
    </xf>
    <xf numFmtId="43" fontId="2" fillId="0" borderId="21" xfId="282" applyFont="1" applyFill="1" applyBorder="1" applyAlignment="1" applyProtection="1">
      <alignment vertical="top"/>
      <protection/>
    </xf>
    <xf numFmtId="43" fontId="4" fillId="0" borderId="19" xfId="282" applyFont="1" applyFill="1" applyBorder="1" applyAlignment="1" applyProtection="1">
      <alignment vertical="top"/>
      <protection/>
    </xf>
    <xf numFmtId="43" fontId="2" fillId="49" borderId="19" xfId="282" applyFont="1" applyFill="1" applyBorder="1" applyAlignment="1" applyProtection="1">
      <alignment horizontal="center" vertical="top" wrapText="1"/>
      <protection locked="0"/>
    </xf>
    <xf numFmtId="43" fontId="2" fillId="49" borderId="21" xfId="282" applyFont="1" applyFill="1" applyBorder="1" applyAlignment="1" applyProtection="1">
      <alignment horizontal="center" vertical="top" wrapText="1"/>
      <protection locked="0"/>
    </xf>
    <xf numFmtId="43" fontId="2" fillId="49" borderId="19" xfId="282" applyFont="1" applyFill="1" applyBorder="1" applyAlignment="1" applyProtection="1">
      <alignment vertical="top" wrapText="1"/>
      <protection/>
    </xf>
    <xf numFmtId="43" fontId="4" fillId="49" borderId="19" xfId="282" applyFont="1" applyFill="1" applyBorder="1" applyAlignment="1" applyProtection="1">
      <alignment horizontal="left" vertical="top" wrapText="1"/>
      <protection locked="0"/>
    </xf>
    <xf numFmtId="43" fontId="11" fillId="0" borderId="23" xfId="282" applyFont="1" applyFill="1" applyBorder="1" applyAlignment="1" applyProtection="1">
      <alignment horizontal="center" vertical="top" wrapText="1"/>
      <protection locked="0"/>
    </xf>
    <xf numFmtId="43" fontId="11" fillId="0" borderId="21" xfId="282" applyFont="1" applyFill="1" applyBorder="1" applyAlignment="1" applyProtection="1">
      <alignment horizontal="center" vertical="top" wrapText="1"/>
      <protection locked="0"/>
    </xf>
    <xf numFmtId="43" fontId="11" fillId="0" borderId="23" xfId="282" applyFont="1" applyFill="1" applyBorder="1" applyAlignment="1" applyProtection="1">
      <alignment vertical="top" wrapText="1"/>
      <protection/>
    </xf>
    <xf numFmtId="43" fontId="12" fillId="0" borderId="23" xfId="282" applyFont="1" applyFill="1" applyBorder="1" applyAlignment="1" applyProtection="1">
      <alignment horizontal="left" vertical="top" wrapText="1"/>
      <protection locked="0"/>
    </xf>
    <xf numFmtId="43" fontId="2" fillId="47" borderId="21" xfId="282" applyFont="1" applyFill="1" applyBorder="1" applyAlignment="1" applyProtection="1">
      <alignment vertical="top" wrapText="1"/>
      <protection/>
    </xf>
    <xf numFmtId="43" fontId="4" fillId="47" borderId="21" xfId="282" applyFont="1" applyFill="1" applyBorder="1" applyAlignment="1" applyProtection="1">
      <alignment vertical="top" wrapText="1"/>
      <protection locked="0"/>
    </xf>
    <xf numFmtId="43" fontId="4" fillId="0" borderId="21" xfId="282" applyFont="1" applyFill="1" applyBorder="1" applyAlignment="1" applyProtection="1">
      <alignment horizontal="center" vertical="top" wrapText="1"/>
      <protection/>
    </xf>
    <xf numFmtId="43" fontId="5" fillId="0" borderId="0" xfId="282" applyFont="1" applyFill="1" applyBorder="1" applyAlignment="1" applyProtection="1">
      <alignment vertical="top" wrapText="1"/>
      <protection/>
    </xf>
    <xf numFmtId="43" fontId="2" fillId="31" borderId="21" xfId="282" applyFont="1" applyFill="1" applyBorder="1" applyAlignment="1" applyProtection="1">
      <alignment vertical="top" wrapText="1"/>
      <protection/>
    </xf>
    <xf numFmtId="43" fontId="4" fillId="0" borderId="21" xfId="282" applyFont="1" applyFill="1" applyBorder="1" applyAlignment="1" applyProtection="1">
      <alignment vertical="top" wrapText="1"/>
      <protection/>
    </xf>
    <xf numFmtId="43" fontId="13" fillId="0" borderId="21" xfId="282" applyFont="1" applyFill="1" applyBorder="1" applyAlignment="1" applyProtection="1">
      <alignment vertical="top" wrapText="1"/>
      <protection locked="0"/>
    </xf>
    <xf numFmtId="43" fontId="4" fillId="0" borderId="21" xfId="282" applyFont="1" applyFill="1" applyBorder="1" applyAlignment="1" applyProtection="1" quotePrefix="1">
      <alignment vertical="top" wrapText="1"/>
      <protection locked="0"/>
    </xf>
    <xf numFmtId="43" fontId="2" fillId="3" borderId="19" xfId="282" applyFont="1" applyFill="1" applyBorder="1" applyAlignment="1" applyProtection="1">
      <alignment horizontal="center" vertical="top" wrapText="1"/>
      <protection/>
    </xf>
    <xf numFmtId="43" fontId="2" fillId="0" borderId="19" xfId="282" applyFont="1" applyFill="1" applyBorder="1" applyAlignment="1" applyProtection="1">
      <alignment horizontal="center" vertical="top" wrapText="1"/>
      <protection/>
    </xf>
    <xf numFmtId="43" fontId="2" fillId="6" borderId="19" xfId="282" applyFont="1" applyFill="1" applyBorder="1" applyAlignment="1" applyProtection="1">
      <alignment horizontal="center" vertical="top" wrapText="1"/>
      <protection/>
    </xf>
    <xf numFmtId="4" fontId="2" fillId="50" borderId="19" xfId="0" applyNumberFormat="1" applyFont="1" applyFill="1" applyBorder="1" applyAlignment="1">
      <alignment horizontal="left" vertical="top"/>
    </xf>
    <xf numFmtId="4" fontId="2" fillId="50" borderId="19" xfId="0" applyNumberFormat="1" applyFont="1" applyFill="1" applyBorder="1" applyAlignment="1">
      <alignment horizontal="center" vertical="top"/>
    </xf>
    <xf numFmtId="4" fontId="2" fillId="6" borderId="19" xfId="0" applyNumberFormat="1" applyFont="1" applyFill="1" applyBorder="1" applyAlignment="1">
      <alignment horizontal="center" vertical="top"/>
    </xf>
    <xf numFmtId="197" fontId="4" fillId="0" borderId="19" xfId="282" applyNumberFormat="1" applyFont="1" applyFill="1" applyBorder="1" applyAlignment="1">
      <alignment horizontal="center" vertical="top"/>
    </xf>
    <xf numFmtId="43" fontId="2" fillId="31" borderId="19" xfId="282" applyFont="1" applyFill="1" applyBorder="1" applyAlignment="1" applyProtection="1">
      <alignment horizontal="center" vertical="top" wrapText="1"/>
      <protection/>
    </xf>
    <xf numFmtId="43" fontId="2" fillId="49" borderId="19" xfId="282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Alignment="1">
      <alignment vertical="top" shrinkToFit="1"/>
    </xf>
    <xf numFmtId="43" fontId="2" fillId="31" borderId="21" xfId="282" applyFont="1" applyFill="1" applyBorder="1" applyAlignment="1" applyProtection="1">
      <alignment vertical="top" wrapText="1"/>
      <protection locked="0"/>
    </xf>
    <xf numFmtId="43" fontId="2" fillId="31" borderId="19" xfId="282" applyFont="1" applyFill="1" applyBorder="1" applyAlignment="1" applyProtection="1">
      <alignment vertical="top" wrapText="1"/>
      <protection/>
    </xf>
    <xf numFmtId="43" fontId="2" fillId="31" borderId="21" xfId="282" applyFont="1" applyFill="1" applyBorder="1" applyAlignment="1" applyProtection="1">
      <alignment horizontal="center" vertical="top" wrapText="1"/>
      <protection/>
    </xf>
    <xf numFmtId="43" fontId="2" fillId="49" borderId="20" xfId="282" applyFont="1" applyFill="1" applyBorder="1" applyAlignment="1" applyProtection="1">
      <alignment vertical="top" wrapText="1"/>
      <protection/>
    </xf>
    <xf numFmtId="43" fontId="2" fillId="7" borderId="19" xfId="282" applyFont="1" applyFill="1" applyBorder="1" applyAlignment="1" applyProtection="1">
      <alignment vertical="top" wrapText="1"/>
      <protection/>
    </xf>
    <xf numFmtId="43" fontId="3" fillId="7" borderId="19" xfId="282" applyFont="1" applyFill="1" applyBorder="1" applyAlignment="1" applyProtection="1">
      <alignment vertical="top" wrapText="1"/>
      <protection/>
    </xf>
    <xf numFmtId="43" fontId="2" fillId="49" borderId="20" xfId="282" applyFont="1" applyFill="1" applyBorder="1" applyAlignment="1" applyProtection="1">
      <alignment horizontal="center" vertical="top" wrapText="1"/>
      <protection/>
    </xf>
    <xf numFmtId="43" fontId="2" fillId="49" borderId="21" xfId="282" applyFont="1" applyFill="1" applyBorder="1" applyAlignment="1" applyProtection="1">
      <alignment horizontal="center" vertical="top" wrapText="1"/>
      <protection/>
    </xf>
    <xf numFmtId="43" fontId="2" fillId="11" borderId="21" xfId="282" applyFont="1" applyFill="1" applyBorder="1" applyAlignment="1" applyProtection="1">
      <alignment horizontal="center" vertical="top" wrapText="1"/>
      <protection/>
    </xf>
    <xf numFmtId="43" fontId="2" fillId="11" borderId="21" xfId="282" applyFont="1" applyFill="1" applyBorder="1" applyAlignment="1" applyProtection="1">
      <alignment vertical="top" wrapText="1"/>
      <protection/>
    </xf>
    <xf numFmtId="0" fontId="5" fillId="0" borderId="0" xfId="0" applyFont="1" applyFill="1" applyAlignment="1">
      <alignment vertical="top"/>
    </xf>
    <xf numFmtId="43" fontId="6" fillId="7" borderId="0" xfId="282" applyFont="1" applyFill="1" applyBorder="1" applyAlignment="1" applyProtection="1">
      <alignment horizontal="center" vertical="top" wrapText="1"/>
      <protection/>
    </xf>
    <xf numFmtId="0" fontId="6" fillId="7" borderId="0" xfId="0" applyFont="1" applyFill="1" applyAlignment="1">
      <alignment vertical="top"/>
    </xf>
    <xf numFmtId="43" fontId="6" fillId="0" borderId="0" xfId="282" applyFont="1" applyFill="1" applyBorder="1" applyAlignment="1" applyProtection="1">
      <alignment horizontal="center" vertical="top" wrapText="1"/>
      <protection/>
    </xf>
    <xf numFmtId="43" fontId="6" fillId="7" borderId="0" xfId="282" applyFont="1" applyFill="1" applyBorder="1" applyAlignment="1" applyProtection="1">
      <alignment vertical="top" wrapText="1"/>
      <protection locked="0"/>
    </xf>
    <xf numFmtId="43" fontId="5" fillId="0" borderId="0" xfId="282" applyFont="1" applyFill="1" applyBorder="1" applyAlignment="1" applyProtection="1">
      <alignment vertical="top"/>
      <protection locked="0"/>
    </xf>
    <xf numFmtId="0" fontId="6" fillId="0" borderId="24" xfId="0" applyFont="1" applyFill="1" applyBorder="1" applyAlignment="1">
      <alignment vertical="top"/>
    </xf>
    <xf numFmtId="43" fontId="5" fillId="6" borderId="0" xfId="282" applyFont="1" applyFill="1" applyBorder="1" applyAlignment="1" applyProtection="1">
      <alignment horizontal="center" vertical="top" wrapText="1"/>
      <protection/>
    </xf>
    <xf numFmtId="0" fontId="5" fillId="6" borderId="0" xfId="0" applyFont="1" applyFill="1" applyAlignment="1">
      <alignment vertical="top"/>
    </xf>
    <xf numFmtId="0" fontId="6" fillId="0" borderId="25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43" fontId="5" fillId="7" borderId="0" xfId="282" applyFont="1" applyFill="1" applyBorder="1" applyAlignment="1" applyProtection="1">
      <alignment horizontal="center" vertical="top" wrapText="1"/>
      <protection/>
    </xf>
    <xf numFmtId="0" fontId="6" fillId="6" borderId="0" xfId="0" applyFont="1" applyFill="1" applyAlignment="1">
      <alignment vertical="top"/>
    </xf>
    <xf numFmtId="0" fontId="8" fillId="0" borderId="0" xfId="0" applyFont="1" applyFill="1" applyAlignment="1">
      <alignment vertical="top" shrinkToFit="1"/>
    </xf>
    <xf numFmtId="43" fontId="2" fillId="13" borderId="21" xfId="282" applyFont="1" applyFill="1" applyBorder="1" applyAlignment="1" applyProtection="1">
      <alignment vertical="top" wrapText="1"/>
      <protection locked="0"/>
    </xf>
    <xf numFmtId="43" fontId="2" fillId="3" borderId="21" xfId="282" applyFont="1" applyFill="1" applyBorder="1" applyAlignment="1" applyProtection="1">
      <alignment vertical="top" wrapText="1"/>
      <protection/>
    </xf>
    <xf numFmtId="43" fontId="2" fillId="4" borderId="21" xfId="282" applyFont="1" applyFill="1" applyBorder="1" applyAlignment="1" applyProtection="1">
      <alignment vertical="top" wrapText="1"/>
      <protection locked="0"/>
    </xf>
    <xf numFmtId="43" fontId="13" fillId="0" borderId="26" xfId="282" applyFont="1" applyFill="1" applyBorder="1" applyAlignment="1" applyProtection="1">
      <alignment vertical="top" wrapText="1"/>
      <protection locked="0"/>
    </xf>
    <xf numFmtId="43" fontId="2" fillId="0" borderId="26" xfId="282" applyFont="1" applyFill="1" applyBorder="1" applyAlignment="1" applyProtection="1">
      <alignment vertical="top" wrapText="1"/>
      <protection locked="0"/>
    </xf>
    <xf numFmtId="43" fontId="2" fillId="12" borderId="20" xfId="282" applyFont="1" applyFill="1" applyBorder="1" applyAlignment="1" applyProtection="1">
      <alignment horizontal="center" vertical="top" wrapText="1"/>
      <protection/>
    </xf>
    <xf numFmtId="43" fontId="2" fillId="12" borderId="19" xfId="282" applyFont="1" applyFill="1" applyBorder="1" applyAlignment="1" applyProtection="1">
      <alignment vertical="top" wrapText="1"/>
      <protection/>
    </xf>
    <xf numFmtId="43" fontId="3" fillId="12" borderId="20" xfId="282" applyFont="1" applyFill="1" applyBorder="1" applyAlignment="1" applyProtection="1">
      <alignment vertical="top" wrapText="1"/>
      <protection/>
    </xf>
    <xf numFmtId="43" fontId="2" fillId="12" borderId="20" xfId="282" applyFont="1" applyFill="1" applyBorder="1" applyAlignment="1" applyProtection="1">
      <alignment vertical="top" wrapText="1"/>
      <protection/>
    </xf>
    <xf numFmtId="43" fontId="4" fillId="12" borderId="20" xfId="282" applyFont="1" applyFill="1" applyBorder="1" applyAlignment="1" applyProtection="1">
      <alignment horizontal="center" vertical="top" wrapText="1"/>
      <protection/>
    </xf>
    <xf numFmtId="43" fontId="5" fillId="12" borderId="0" xfId="282" applyFont="1" applyFill="1" applyBorder="1" applyAlignment="1" applyProtection="1">
      <alignment vertical="top" wrapText="1"/>
      <protection/>
    </xf>
    <xf numFmtId="0" fontId="5" fillId="12" borderId="0" xfId="0" applyFont="1" applyFill="1" applyAlignment="1">
      <alignment vertical="top"/>
    </xf>
    <xf numFmtId="43" fontId="11" fillId="0" borderId="0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top" shrinkToFit="1"/>
    </xf>
    <xf numFmtId="43" fontId="42" fillId="4" borderId="19" xfId="293" applyFont="1" applyFill="1" applyBorder="1" applyAlignment="1">
      <alignment horizontal="center" vertical="top"/>
    </xf>
    <xf numFmtId="0" fontId="7" fillId="0" borderId="19" xfId="0" applyFont="1" applyFill="1" applyBorder="1" applyAlignment="1" applyProtection="1">
      <alignment vertical="top" shrinkToFit="1"/>
      <protection locked="0"/>
    </xf>
    <xf numFmtId="0" fontId="7" fillId="12" borderId="19" xfId="0" applyFont="1" applyFill="1" applyBorder="1" applyAlignment="1" applyProtection="1">
      <alignment vertical="top" shrinkToFit="1"/>
      <protection locked="0"/>
    </xf>
    <xf numFmtId="43" fontId="2" fillId="12" borderId="19" xfId="282" applyFont="1" applyFill="1" applyBorder="1" applyAlignment="1" applyProtection="1">
      <alignment horizontal="center" vertical="top" wrapText="1"/>
      <protection/>
    </xf>
    <xf numFmtId="43" fontId="8" fillId="7" borderId="19" xfId="282" applyFont="1" applyFill="1" applyBorder="1" applyAlignment="1">
      <alignment vertical="center" shrinkToFit="1"/>
    </xf>
    <xf numFmtId="43" fontId="9" fillId="0" borderId="19" xfId="282" applyFont="1" applyBorder="1" applyAlignment="1">
      <alignment/>
    </xf>
    <xf numFmtId="43" fontId="8" fillId="0" borderId="19" xfId="282" applyFont="1" applyFill="1" applyBorder="1" applyAlignment="1">
      <alignment vertical="center" shrinkToFit="1"/>
    </xf>
    <xf numFmtId="4" fontId="11" fillId="0" borderId="19" xfId="293" applyNumberFormat="1" applyFont="1" applyFill="1" applyBorder="1" applyAlignment="1" applyProtection="1">
      <alignment vertical="center" wrapText="1"/>
      <protection/>
    </xf>
    <xf numFmtId="43" fontId="9" fillId="47" borderId="19" xfId="282" applyFont="1" applyFill="1" applyBorder="1" applyAlignment="1">
      <alignment/>
    </xf>
    <xf numFmtId="4" fontId="2" fillId="49" borderId="19" xfId="293" applyNumberFormat="1" applyFont="1" applyFill="1" applyBorder="1" applyAlignment="1" applyProtection="1">
      <alignment vertical="center" wrapText="1"/>
      <protection locked="0"/>
    </xf>
    <xf numFmtId="43" fontId="8" fillId="0" borderId="19" xfId="282" applyFont="1" applyFill="1" applyBorder="1" applyAlignment="1">
      <alignment horizontal="left" vertical="center" shrinkToFit="1"/>
    </xf>
    <xf numFmtId="43" fontId="2" fillId="3" borderId="19" xfId="282" applyFont="1" applyFill="1" applyBorder="1" applyAlignment="1" applyProtection="1">
      <alignment horizontal="center" vertical="top" wrapText="1"/>
      <protection locked="0"/>
    </xf>
    <xf numFmtId="43" fontId="8" fillId="7" borderId="19" xfId="282" applyFont="1" applyFill="1" applyBorder="1" applyAlignment="1">
      <alignment horizontal="left" vertical="center" shrinkToFit="1"/>
    </xf>
    <xf numFmtId="43" fontId="2" fillId="3" borderId="19" xfId="282" applyFont="1" applyFill="1" applyBorder="1" applyAlignment="1" applyProtection="1">
      <alignment vertical="top" wrapText="1"/>
      <protection locked="0"/>
    </xf>
    <xf numFmtId="0" fontId="8" fillId="0" borderId="19" xfId="0" applyFont="1" applyFill="1" applyBorder="1" applyAlignment="1" applyProtection="1">
      <alignment vertical="top" shrinkToFit="1"/>
      <protection locked="0"/>
    </xf>
    <xf numFmtId="43" fontId="2" fillId="0" borderId="19" xfId="282" applyFont="1" applyBorder="1" applyAlignment="1" applyProtection="1">
      <alignment vertical="top"/>
      <protection locked="0"/>
    </xf>
    <xf numFmtId="43" fontId="2" fillId="3" borderId="19" xfId="282" applyFont="1" applyFill="1" applyBorder="1" applyAlignment="1" applyProtection="1">
      <alignment vertical="top"/>
      <protection locked="0"/>
    </xf>
    <xf numFmtId="43" fontId="2" fillId="0" borderId="19" xfId="282" applyFont="1" applyFill="1" applyBorder="1" applyAlignment="1" applyProtection="1">
      <alignment vertical="top" wrapText="1"/>
      <protection locked="0"/>
    </xf>
    <xf numFmtId="4" fontId="2" fillId="49" borderId="19" xfId="293" applyNumberFormat="1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>
      <alignment horizontal="left" vertical="top" shrinkToFit="1"/>
    </xf>
    <xf numFmtId="43" fontId="2" fillId="0" borderId="19" xfId="282" applyFont="1" applyBorder="1" applyAlignment="1" applyProtection="1">
      <alignment vertical="top" wrapText="1"/>
      <protection locked="0"/>
    </xf>
    <xf numFmtId="0" fontId="8" fillId="0" borderId="19" xfId="0" applyFont="1" applyFill="1" applyBorder="1" applyAlignment="1">
      <alignment vertical="top" shrinkToFit="1"/>
    </xf>
    <xf numFmtId="0" fontId="10" fillId="0" borderId="19" xfId="0" applyFont="1" applyFill="1" applyBorder="1" applyAlignment="1">
      <alignment vertical="top" shrinkToFit="1"/>
    </xf>
    <xf numFmtId="0" fontId="8" fillId="7" borderId="19" xfId="0" applyFont="1" applyFill="1" applyBorder="1" applyAlignment="1">
      <alignment vertical="top" shrinkToFit="1"/>
    </xf>
    <xf numFmtId="0" fontId="7" fillId="6" borderId="19" xfId="0" applyFont="1" applyFill="1" applyBorder="1" applyAlignment="1" applyProtection="1">
      <alignment horizontal="center" vertical="top" shrinkToFit="1"/>
      <protection locked="0"/>
    </xf>
    <xf numFmtId="43" fontId="11" fillId="0" borderId="19" xfId="282" applyFont="1" applyFill="1" applyBorder="1" applyAlignment="1" applyProtection="1">
      <alignment horizontal="center" vertical="top" wrapText="1"/>
      <protection locked="0"/>
    </xf>
    <xf numFmtId="43" fontId="11" fillId="3" borderId="19" xfId="282" applyFont="1" applyFill="1" applyBorder="1" applyAlignment="1" applyProtection="1">
      <alignment horizontal="center" vertical="top" wrapText="1"/>
      <protection/>
    </xf>
    <xf numFmtId="0" fontId="8" fillId="7" borderId="19" xfId="0" applyFont="1" applyFill="1" applyBorder="1" applyAlignment="1" applyProtection="1">
      <alignment vertical="top" shrinkToFit="1"/>
      <protection locked="0"/>
    </xf>
    <xf numFmtId="43" fontId="2" fillId="47" borderId="19" xfId="282" applyFont="1" applyFill="1" applyBorder="1" applyAlignment="1" applyProtection="1">
      <alignment vertical="top" wrapText="1"/>
      <protection locked="0"/>
    </xf>
    <xf numFmtId="43" fontId="2" fillId="31" borderId="19" xfId="282" applyFont="1" applyFill="1" applyBorder="1" applyAlignment="1" applyProtection="1">
      <alignment vertical="top" wrapText="1"/>
      <protection locked="0"/>
    </xf>
    <xf numFmtId="0" fontId="7" fillId="0" borderId="19" xfId="0" applyFont="1" applyFill="1" applyBorder="1" applyAlignment="1" applyProtection="1">
      <alignment horizontal="left" vertical="top" shrinkToFit="1"/>
      <protection locked="0"/>
    </xf>
    <xf numFmtId="43" fontId="2" fillId="11" borderId="19" xfId="282" applyFont="1" applyFill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vertical="top" shrinkToFit="1"/>
      <protection locked="0"/>
    </xf>
    <xf numFmtId="0" fontId="7" fillId="3" borderId="19" xfId="0" applyFont="1" applyFill="1" applyBorder="1" applyAlignment="1" applyProtection="1">
      <alignment vertical="top" shrinkToFit="1"/>
      <protection/>
    </xf>
    <xf numFmtId="43" fontId="2" fillId="3" borderId="19" xfId="282" applyFont="1" applyFill="1" applyBorder="1" applyAlignment="1" applyProtection="1">
      <alignment vertical="top" wrapText="1"/>
      <protection/>
    </xf>
    <xf numFmtId="0" fontId="7" fillId="4" borderId="19" xfId="0" applyFont="1" applyFill="1" applyBorder="1" applyAlignment="1" applyProtection="1">
      <alignment vertical="top" shrinkToFit="1"/>
      <protection/>
    </xf>
    <xf numFmtId="43" fontId="2" fillId="4" borderId="19" xfId="282" applyFont="1" applyFill="1" applyBorder="1" applyAlignment="1" applyProtection="1">
      <alignment vertical="top" wrapText="1"/>
      <protection locked="0"/>
    </xf>
    <xf numFmtId="0" fontId="7" fillId="13" borderId="19" xfId="0" applyFont="1" applyFill="1" applyBorder="1" applyAlignment="1" applyProtection="1">
      <alignment vertical="top" shrinkToFit="1"/>
      <protection/>
    </xf>
    <xf numFmtId="43" fontId="2" fillId="13" borderId="19" xfId="282" applyFont="1" applyFill="1" applyBorder="1" applyAlignment="1" applyProtection="1">
      <alignment vertical="top" wrapText="1"/>
      <protection locked="0"/>
    </xf>
    <xf numFmtId="0" fontId="7" fillId="0" borderId="19" xfId="0" applyFont="1" applyFill="1" applyBorder="1" applyAlignment="1" applyProtection="1">
      <alignment vertical="top" shrinkToFit="1"/>
      <protection/>
    </xf>
    <xf numFmtId="0" fontId="7" fillId="50" borderId="19" xfId="0" applyFont="1" applyFill="1" applyBorder="1" applyAlignment="1" applyProtection="1">
      <alignment horizontal="center" vertical="top" shrinkToFit="1"/>
      <protection/>
    </xf>
    <xf numFmtId="0" fontId="7" fillId="0" borderId="19" xfId="0" applyFont="1" applyFill="1" applyBorder="1" applyAlignment="1" applyProtection="1">
      <alignment horizontal="left" vertical="top" shrinkToFit="1"/>
      <protection/>
    </xf>
    <xf numFmtId="0" fontId="7" fillId="49" borderId="19" xfId="0" applyFont="1" applyFill="1" applyBorder="1" applyAlignment="1" applyProtection="1">
      <alignment horizontal="left" vertical="top" shrinkToFit="1"/>
      <protection/>
    </xf>
    <xf numFmtId="43" fontId="9" fillId="3" borderId="19" xfId="282" applyFont="1" applyFill="1" applyBorder="1" applyAlignment="1" applyProtection="1">
      <alignment vertical="top"/>
      <protection locked="0"/>
    </xf>
    <xf numFmtId="43" fontId="11" fillId="0" borderId="0" xfId="282" applyFont="1" applyFill="1" applyBorder="1" applyAlignment="1">
      <alignment vertical="top"/>
    </xf>
    <xf numFmtId="0" fontId="7" fillId="47" borderId="19" xfId="0" applyFont="1" applyFill="1" applyBorder="1" applyAlignment="1" applyProtection="1">
      <alignment vertical="top" shrinkToFit="1"/>
      <protection locked="0"/>
    </xf>
    <xf numFmtId="4" fontId="2" fillId="47" borderId="19" xfId="293" applyNumberFormat="1" applyFont="1" applyFill="1" applyBorder="1" applyAlignment="1" applyProtection="1">
      <alignment vertical="center" wrapText="1"/>
      <protection locked="0"/>
    </xf>
    <xf numFmtId="43" fontId="2" fillId="47" borderId="19" xfId="282" applyFont="1" applyFill="1" applyBorder="1" applyAlignment="1" applyProtection="1">
      <alignment vertical="top" wrapText="1"/>
      <protection locked="0"/>
    </xf>
    <xf numFmtId="43" fontId="2" fillId="47" borderId="21" xfId="282" applyFont="1" applyFill="1" applyBorder="1" applyAlignment="1" applyProtection="1">
      <alignment vertical="top" wrapText="1"/>
      <protection locked="0"/>
    </xf>
    <xf numFmtId="43" fontId="2" fillId="47" borderId="19" xfId="282" applyFont="1" applyFill="1" applyBorder="1" applyAlignment="1" applyProtection="1">
      <alignment vertical="top" wrapText="1"/>
      <protection/>
    </xf>
    <xf numFmtId="43" fontId="3" fillId="47" borderId="21" xfId="282" applyFont="1" applyFill="1" applyBorder="1" applyAlignment="1" applyProtection="1">
      <alignment vertical="top" wrapText="1"/>
      <protection/>
    </xf>
    <xf numFmtId="43" fontId="2" fillId="47" borderId="21" xfId="282" applyFont="1" applyFill="1" applyBorder="1" applyAlignment="1" applyProtection="1">
      <alignment vertical="top" wrapText="1"/>
      <protection/>
    </xf>
    <xf numFmtId="43" fontId="4" fillId="47" borderId="21" xfId="282" applyFont="1" applyFill="1" applyBorder="1" applyAlignment="1" applyProtection="1">
      <alignment vertical="top" wrapText="1"/>
      <protection locked="0"/>
    </xf>
    <xf numFmtId="43" fontId="6" fillId="47" borderId="0" xfId="282" applyFont="1" applyFill="1" applyBorder="1" applyAlignment="1" applyProtection="1">
      <alignment horizontal="center" vertical="top" wrapText="1"/>
      <protection/>
    </xf>
    <xf numFmtId="0" fontId="6" fillId="47" borderId="0" xfId="0" applyFont="1" applyFill="1" applyAlignment="1">
      <alignment vertical="top"/>
    </xf>
    <xf numFmtId="43" fontId="5" fillId="47" borderId="0" xfId="282" applyFont="1" applyFill="1" applyBorder="1" applyAlignment="1" applyProtection="1">
      <alignment vertical="top" wrapText="1"/>
      <protection locked="0"/>
    </xf>
    <xf numFmtId="0" fontId="5" fillId="47" borderId="0" xfId="0" applyFont="1" applyFill="1" applyAlignment="1">
      <alignment vertical="top"/>
    </xf>
    <xf numFmtId="43" fontId="7" fillId="47" borderId="19" xfId="282" applyFont="1" applyFill="1" applyBorder="1" applyAlignment="1">
      <alignment horizontal="left" vertical="center" shrinkToFit="1"/>
    </xf>
    <xf numFmtId="43" fontId="9" fillId="47" borderId="19" xfId="282" applyFont="1" applyFill="1" applyBorder="1" applyAlignment="1">
      <alignment/>
    </xf>
    <xf numFmtId="43" fontId="6" fillId="47" borderId="0" xfId="282" applyFont="1" applyFill="1" applyBorder="1" applyAlignment="1" applyProtection="1">
      <alignment vertical="top" wrapText="1"/>
      <protection locked="0"/>
    </xf>
    <xf numFmtId="4" fontId="2" fillId="47" borderId="19" xfId="293" applyNumberFormat="1" applyFont="1" applyFill="1" applyBorder="1" applyAlignment="1" applyProtection="1">
      <alignment vertical="center"/>
      <protection hidden="1" locked="0"/>
    </xf>
    <xf numFmtId="43" fontId="2" fillId="47" borderId="19" xfId="282" applyFont="1" applyFill="1" applyBorder="1" applyAlignment="1" applyProtection="1">
      <alignment vertical="top"/>
      <protection hidden="1" locked="0"/>
    </xf>
    <xf numFmtId="43" fontId="2" fillId="47" borderId="21" xfId="282" applyFont="1" applyFill="1" applyBorder="1" applyAlignment="1" applyProtection="1">
      <alignment vertical="top"/>
      <protection hidden="1" locked="0"/>
    </xf>
    <xf numFmtId="43" fontId="4" fillId="47" borderId="21" xfId="282" applyFont="1" applyFill="1" applyBorder="1" applyAlignment="1" applyProtection="1">
      <alignment vertical="top"/>
      <protection/>
    </xf>
    <xf numFmtId="43" fontId="2" fillId="47" borderId="19" xfId="282" applyFont="1" applyFill="1" applyBorder="1" applyAlignment="1" applyProtection="1">
      <alignment horizontal="center" vertical="top" wrapText="1"/>
      <protection locked="0"/>
    </xf>
    <xf numFmtId="43" fontId="2" fillId="47" borderId="21" xfId="282" applyFont="1" applyFill="1" applyBorder="1" applyAlignment="1" applyProtection="1">
      <alignment horizontal="center" vertical="top" wrapText="1"/>
      <protection locked="0"/>
    </xf>
    <xf numFmtId="43" fontId="4" fillId="47" borderId="21" xfId="282" applyFont="1" applyFill="1" applyBorder="1" applyAlignment="1" applyProtection="1">
      <alignment horizontal="center" vertical="top" wrapText="1"/>
      <protection locked="0"/>
    </xf>
    <xf numFmtId="43" fontId="5" fillId="47" borderId="0" xfId="282" applyFont="1" applyFill="1" applyBorder="1" applyAlignment="1" applyProtection="1">
      <alignment horizontal="center" vertical="top" wrapText="1"/>
      <protection locked="0"/>
    </xf>
    <xf numFmtId="4" fontId="2" fillId="47" borderId="19" xfId="293" applyNumberFormat="1" applyFont="1" applyFill="1" applyBorder="1" applyAlignment="1" applyProtection="1">
      <alignment vertical="center" wrapText="1"/>
      <protection/>
    </xf>
    <xf numFmtId="43" fontId="2" fillId="47" borderId="19" xfId="282" applyFont="1" applyFill="1" applyBorder="1" applyAlignment="1" applyProtection="1">
      <alignment horizontal="center" vertical="top" wrapText="1"/>
      <protection/>
    </xf>
    <xf numFmtId="43" fontId="2" fillId="47" borderId="21" xfId="282" applyFont="1" applyFill="1" applyBorder="1" applyAlignment="1" applyProtection="1">
      <alignment horizontal="center" vertical="top" wrapText="1"/>
      <protection/>
    </xf>
    <xf numFmtId="0" fontId="4" fillId="47" borderId="21" xfId="0" applyFont="1" applyFill="1" applyBorder="1" applyAlignment="1">
      <alignment vertical="top"/>
    </xf>
    <xf numFmtId="43" fontId="5" fillId="47" borderId="0" xfId="282" applyFont="1" applyFill="1" applyBorder="1" applyAlignment="1" applyProtection="1">
      <alignment horizontal="center" vertical="top" wrapText="1"/>
      <protection/>
    </xf>
    <xf numFmtId="43" fontId="2" fillId="31" borderId="19" xfId="282" applyFont="1" applyFill="1" applyBorder="1" applyAlignment="1" applyProtection="1">
      <alignment horizontal="center" vertical="top" wrapText="1"/>
      <protection/>
    </xf>
    <xf numFmtId="43" fontId="2" fillId="31" borderId="19" xfId="282" applyFont="1" applyFill="1" applyBorder="1" applyAlignment="1" applyProtection="1">
      <alignment vertical="top" wrapText="1"/>
      <protection/>
    </xf>
    <xf numFmtId="43" fontId="2" fillId="31" borderId="19" xfId="282" applyFont="1" applyFill="1" applyBorder="1" applyAlignment="1" applyProtection="1">
      <alignment vertical="top" wrapText="1"/>
      <protection locked="0"/>
    </xf>
    <xf numFmtId="43" fontId="2" fillId="3" borderId="19" xfId="282" applyFont="1" applyFill="1" applyBorder="1" applyAlignment="1" applyProtection="1">
      <alignment vertical="top" wrapText="1"/>
      <protection locked="0"/>
    </xf>
    <xf numFmtId="43" fontId="2" fillId="3" borderId="19" xfId="282" applyFont="1" applyFill="1" applyBorder="1" applyAlignment="1" applyProtection="1">
      <alignment horizontal="center" vertical="top" wrapText="1"/>
      <protection/>
    </xf>
    <xf numFmtId="43" fontId="9" fillId="49" borderId="19" xfId="282" applyFont="1" applyFill="1" applyBorder="1" applyAlignment="1" applyProtection="1">
      <alignment horizontal="center" vertical="top" wrapText="1"/>
      <protection/>
    </xf>
    <xf numFmtId="43" fontId="2" fillId="3" borderId="19" xfId="282" applyFont="1" applyFill="1" applyBorder="1" applyAlignment="1" applyProtection="1">
      <alignment horizontal="center" vertical="top" wrapText="1"/>
      <protection locked="0"/>
    </xf>
    <xf numFmtId="43" fontId="9" fillId="3" borderId="19" xfId="282" applyFont="1" applyFill="1" applyBorder="1" applyAlignment="1">
      <alignment/>
    </xf>
    <xf numFmtId="43" fontId="2" fillId="3" borderId="19" xfId="282" applyFont="1" applyFill="1" applyBorder="1" applyAlignment="1" applyProtection="1">
      <alignment vertical="top"/>
      <protection hidden="1" locked="0"/>
    </xf>
    <xf numFmtId="4" fontId="11" fillId="31" borderId="19" xfId="293" applyNumberFormat="1" applyFont="1" applyFill="1" applyBorder="1" applyAlignment="1" applyProtection="1">
      <alignment vertical="center" wrapText="1"/>
      <protection locked="0"/>
    </xf>
    <xf numFmtId="4" fontId="11" fillId="0" borderId="19" xfId="293" applyNumberFormat="1" applyFont="1" applyFill="1" applyBorder="1" applyAlignment="1" applyProtection="1">
      <alignment vertical="center" wrapText="1"/>
      <protection locked="0"/>
    </xf>
    <xf numFmtId="4" fontId="11" fillId="47" borderId="19" xfId="293" applyNumberFormat="1" applyFont="1" applyFill="1" applyBorder="1" applyAlignment="1" applyProtection="1">
      <alignment vertical="center"/>
      <protection locked="0"/>
    </xf>
    <xf numFmtId="4" fontId="11" fillId="47" borderId="19" xfId="293" applyNumberFormat="1" applyFont="1" applyFill="1" applyBorder="1" applyAlignment="1" applyProtection="1">
      <alignment vertical="center" wrapText="1"/>
      <protection locked="0"/>
    </xf>
    <xf numFmtId="4" fontId="11" fillId="47" borderId="19" xfId="293" applyNumberFormat="1" applyFont="1" applyFill="1" applyBorder="1" applyAlignment="1" applyProtection="1">
      <alignment vertical="center" wrapText="1"/>
      <protection/>
    </xf>
    <xf numFmtId="43" fontId="11" fillId="47" borderId="19" xfId="293" applyFont="1" applyFill="1" applyBorder="1" applyAlignment="1">
      <alignment/>
    </xf>
    <xf numFmtId="4" fontId="2" fillId="31" borderId="19" xfId="293" applyNumberFormat="1" applyFont="1" applyFill="1" applyBorder="1" applyAlignment="1" applyProtection="1">
      <alignment vertical="center" wrapText="1"/>
      <protection/>
    </xf>
    <xf numFmtId="0" fontId="43" fillId="0" borderId="0" xfId="0" applyFont="1" applyAlignment="1">
      <alignment/>
    </xf>
    <xf numFmtId="0" fontId="44" fillId="0" borderId="19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center"/>
    </xf>
    <xf numFmtId="43" fontId="43" fillId="0" borderId="19" xfId="0" applyNumberFormat="1" applyFont="1" applyBorder="1" applyAlignment="1">
      <alignment/>
    </xf>
    <xf numFmtId="43" fontId="43" fillId="0" borderId="19" xfId="282" applyFont="1" applyBorder="1" applyAlignment="1">
      <alignment/>
    </xf>
    <xf numFmtId="0" fontId="43" fillId="0" borderId="19" xfId="0" applyFont="1" applyBorder="1" applyAlignment="1">
      <alignment/>
    </xf>
    <xf numFmtId="43" fontId="43" fillId="0" borderId="19" xfId="0" applyNumberFormat="1" applyFont="1" applyBorder="1" applyAlignment="1">
      <alignment horizontal="center"/>
    </xf>
    <xf numFmtId="43" fontId="43" fillId="21" borderId="19" xfId="0" applyNumberFormat="1" applyFont="1" applyFill="1" applyBorder="1" applyAlignment="1">
      <alignment/>
    </xf>
    <xf numFmtId="43" fontId="43" fillId="0" borderId="19" xfId="282" applyFont="1" applyBorder="1" applyAlignment="1">
      <alignment horizontal="center"/>
    </xf>
    <xf numFmtId="43" fontId="43" fillId="21" borderId="19" xfId="282" applyFont="1" applyFill="1" applyBorder="1" applyAlignment="1">
      <alignment horizontal="center"/>
    </xf>
    <xf numFmtId="43" fontId="43" fillId="21" borderId="19" xfId="282" applyFont="1" applyFill="1" applyBorder="1" applyAlignment="1">
      <alignment/>
    </xf>
    <xf numFmtId="43" fontId="43" fillId="0" borderId="19" xfId="282" applyFont="1" applyFill="1" applyBorder="1" applyAlignment="1">
      <alignment/>
    </xf>
    <xf numFmtId="43" fontId="45" fillId="0" borderId="19" xfId="282" applyFont="1" applyFill="1" applyBorder="1" applyAlignment="1">
      <alignment horizontal="right"/>
    </xf>
    <xf numFmtId="43" fontId="45" fillId="0" borderId="19" xfId="0" applyNumberFormat="1" applyFont="1" applyFill="1" applyBorder="1" applyAlignment="1">
      <alignment horizontal="left"/>
    </xf>
    <xf numFmtId="43" fontId="45" fillId="0" borderId="19" xfId="0" applyNumberFormat="1" applyFont="1" applyFill="1" applyBorder="1" applyAlignment="1">
      <alignment horizontal="right"/>
    </xf>
    <xf numFmtId="43" fontId="45" fillId="0" borderId="19" xfId="0" applyNumberFormat="1" applyFont="1" applyFill="1" applyBorder="1" applyAlignment="1">
      <alignment horizontal="center"/>
    </xf>
    <xf numFmtId="43" fontId="43" fillId="0" borderId="19" xfId="0" applyNumberFormat="1" applyFont="1" applyFill="1" applyBorder="1" applyAlignment="1">
      <alignment/>
    </xf>
    <xf numFmtId="43" fontId="43" fillId="0" borderId="19" xfId="282" applyFont="1" applyFill="1" applyBorder="1" applyAlignment="1">
      <alignment horizontal="right"/>
    </xf>
    <xf numFmtId="43" fontId="43" fillId="0" borderId="19" xfId="282" applyNumberFormat="1" applyFont="1" applyFill="1" applyBorder="1" applyAlignment="1">
      <alignment horizontal="right"/>
    </xf>
    <xf numFmtId="43" fontId="43" fillId="0" borderId="19" xfId="0" applyNumberFormat="1" applyFont="1" applyFill="1" applyBorder="1" applyAlignment="1">
      <alignment horizontal="left"/>
    </xf>
    <xf numFmtId="43" fontId="43" fillId="0" borderId="19" xfId="282" applyNumberFormat="1" applyFont="1" applyFill="1" applyBorder="1" applyAlignment="1">
      <alignment horizontal="center"/>
    </xf>
    <xf numFmtId="43" fontId="43" fillId="0" borderId="19" xfId="0" applyNumberFormat="1" applyFont="1" applyFill="1" applyBorder="1" applyAlignment="1">
      <alignment horizontal="right"/>
    </xf>
    <xf numFmtId="43" fontId="43" fillId="0" borderId="19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3" fontId="43" fillId="0" borderId="19" xfId="282" applyFont="1" applyFill="1" applyBorder="1" applyAlignment="1">
      <alignment horizontal="center"/>
    </xf>
    <xf numFmtId="43" fontId="43" fillId="0" borderId="0" xfId="0" applyNumberFormat="1" applyFont="1" applyAlignment="1">
      <alignment/>
    </xf>
    <xf numFmtId="0" fontId="43" fillId="0" borderId="19" xfId="0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center"/>
    </xf>
    <xf numFmtId="2" fontId="10" fillId="0" borderId="0" xfId="282" applyNumberFormat="1" applyFont="1" applyFill="1" applyBorder="1" applyAlignment="1">
      <alignment horizontal="righ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43" fontId="43" fillId="0" borderId="0" xfId="0" applyNumberFormat="1" applyFont="1" applyBorder="1" applyAlignment="1">
      <alignment/>
    </xf>
    <xf numFmtId="2" fontId="45" fillId="0" borderId="19" xfId="282" applyNumberFormat="1" applyFont="1" applyFill="1" applyBorder="1" applyAlignment="1">
      <alignment horizontal="right"/>
    </xf>
    <xf numFmtId="43" fontId="43" fillId="0" borderId="19" xfId="0" applyNumberFormat="1" applyFont="1" applyFill="1" applyBorder="1" applyAlignment="1">
      <alignment/>
    </xf>
    <xf numFmtId="203" fontId="43" fillId="21" borderId="19" xfId="282" applyNumberFormat="1" applyFont="1" applyFill="1" applyBorder="1" applyAlignment="1">
      <alignment/>
    </xf>
    <xf numFmtId="203" fontId="43" fillId="0" borderId="19" xfId="282" applyNumberFormat="1" applyFont="1" applyFill="1" applyBorder="1" applyAlignment="1">
      <alignment/>
    </xf>
    <xf numFmtId="203" fontId="44" fillId="21" borderId="19" xfId="0" applyNumberFormat="1" applyFont="1" applyFill="1" applyBorder="1" applyAlignment="1">
      <alignment/>
    </xf>
    <xf numFmtId="0" fontId="46" fillId="0" borderId="19" xfId="0" applyFont="1" applyBorder="1" applyAlignment="1">
      <alignment/>
    </xf>
    <xf numFmtId="0" fontId="45" fillId="0" borderId="19" xfId="0" applyFont="1" applyBorder="1" applyAlignment="1">
      <alignment/>
    </xf>
    <xf numFmtId="40" fontId="47" fillId="0" borderId="0" xfId="0" applyNumberFormat="1" applyFont="1" applyFill="1" applyBorder="1" applyAlignment="1" applyProtection="1">
      <alignment horizontal="center" vertical="top"/>
      <protection locked="0"/>
    </xf>
    <xf numFmtId="40" fontId="48" fillId="0" borderId="0" xfId="0" applyNumberFormat="1" applyFont="1" applyFill="1" applyAlignment="1">
      <alignment vertical="top"/>
    </xf>
    <xf numFmtId="40" fontId="47" fillId="0" borderId="19" xfId="0" applyNumberFormat="1" applyFont="1" applyFill="1" applyBorder="1" applyAlignment="1" applyProtection="1">
      <alignment vertical="top" shrinkToFit="1"/>
      <protection locked="0"/>
    </xf>
    <xf numFmtId="40" fontId="47" fillId="0" borderId="19" xfId="0" applyNumberFormat="1" applyFont="1" applyFill="1" applyBorder="1" applyAlignment="1" applyProtection="1">
      <alignment horizontal="center" vertical="center" shrinkToFit="1"/>
      <protection locked="0"/>
    </xf>
    <xf numFmtId="40" fontId="47" fillId="0" borderId="23" xfId="0" applyNumberFormat="1" applyFont="1" applyFill="1" applyBorder="1" applyAlignment="1">
      <alignment horizontal="center" vertical="top" shrinkToFit="1"/>
    </xf>
    <xf numFmtId="40" fontId="47" fillId="0" borderId="19" xfId="282" applyNumberFormat="1" applyFont="1" applyFill="1" applyBorder="1" applyAlignment="1">
      <alignment horizontal="center" vertical="top"/>
    </xf>
    <xf numFmtId="40" fontId="47" fillId="6" borderId="27" xfId="0" applyNumberFormat="1" applyFont="1" applyFill="1" applyBorder="1" applyAlignment="1" applyProtection="1">
      <alignment vertical="top" shrinkToFit="1"/>
      <protection locked="0"/>
    </xf>
    <xf numFmtId="40" fontId="47" fillId="6" borderId="20" xfId="282" applyNumberFormat="1" applyFont="1" applyFill="1" applyBorder="1" applyAlignment="1" applyProtection="1">
      <alignment vertical="top" wrapText="1"/>
      <protection/>
    </xf>
    <xf numFmtId="40" fontId="47" fillId="0" borderId="0" xfId="282" applyNumberFormat="1" applyFont="1" applyFill="1" applyBorder="1" applyAlignment="1">
      <alignment horizontal="center" vertical="top"/>
    </xf>
    <xf numFmtId="40" fontId="47" fillId="0" borderId="0" xfId="0" applyNumberFormat="1" applyFont="1" applyFill="1" applyAlignment="1">
      <alignment horizontal="center" vertical="top"/>
    </xf>
    <xf numFmtId="40" fontId="47" fillId="7" borderId="28" xfId="0" applyNumberFormat="1" applyFont="1" applyFill="1" applyBorder="1" applyAlignment="1" applyProtection="1">
      <alignment vertical="top" shrinkToFit="1"/>
      <protection locked="0"/>
    </xf>
    <xf numFmtId="40" fontId="47" fillId="7" borderId="29" xfId="282" applyNumberFormat="1" applyFont="1" applyFill="1" applyBorder="1" applyAlignment="1" applyProtection="1">
      <alignment horizontal="center" vertical="top" wrapText="1"/>
      <protection/>
    </xf>
    <xf numFmtId="40" fontId="47" fillId="0" borderId="0" xfId="282" applyNumberFormat="1" applyFont="1" applyFill="1" applyBorder="1" applyAlignment="1" applyProtection="1">
      <alignment vertical="top" wrapText="1"/>
      <protection/>
    </xf>
    <xf numFmtId="40" fontId="47" fillId="0" borderId="0" xfId="0" applyNumberFormat="1" applyFont="1" applyFill="1" applyAlignment="1">
      <alignment vertical="top"/>
    </xf>
    <xf numFmtId="40" fontId="48" fillId="0" borderId="21" xfId="282" applyNumberFormat="1" applyFont="1" applyFill="1" applyBorder="1" applyAlignment="1">
      <alignment vertical="center" shrinkToFit="1"/>
    </xf>
    <xf numFmtId="40" fontId="47" fillId="0" borderId="21" xfId="282" applyNumberFormat="1" applyFont="1" applyFill="1" applyBorder="1" applyAlignment="1" applyProtection="1">
      <alignment vertical="top" wrapText="1"/>
      <protection locked="0"/>
    </xf>
    <xf numFmtId="40" fontId="47" fillId="0" borderId="0" xfId="282" applyNumberFormat="1" applyFont="1" applyFill="1" applyBorder="1" applyAlignment="1" applyProtection="1">
      <alignment horizontal="center" vertical="top" wrapText="1"/>
      <protection/>
    </xf>
    <xf numFmtId="40" fontId="47" fillId="0" borderId="21" xfId="282" applyNumberFormat="1" applyFont="1" applyFill="1" applyBorder="1" applyAlignment="1" applyProtection="1">
      <alignment horizontal="center" vertical="top" wrapText="1"/>
      <protection/>
    </xf>
    <xf numFmtId="40" fontId="48" fillId="0" borderId="0" xfId="282" applyNumberFormat="1" applyFont="1" applyFill="1" applyBorder="1" applyAlignment="1" applyProtection="1">
      <alignment horizontal="center" vertical="top" wrapText="1"/>
      <protection/>
    </xf>
    <xf numFmtId="40" fontId="47" fillId="0" borderId="21" xfId="0" applyNumberFormat="1" applyFont="1" applyFill="1" applyBorder="1" applyAlignment="1" applyProtection="1">
      <alignment vertical="top" shrinkToFit="1"/>
      <protection locked="0"/>
    </xf>
    <xf numFmtId="40" fontId="47" fillId="7" borderId="21" xfId="282" applyNumberFormat="1" applyFont="1" applyFill="1" applyBorder="1" applyAlignment="1" applyProtection="1">
      <alignment vertical="top" wrapText="1"/>
      <protection locked="0"/>
    </xf>
    <xf numFmtId="40" fontId="47" fillId="0" borderId="0" xfId="282" applyNumberFormat="1" applyFont="1" applyFill="1" applyBorder="1" applyAlignment="1" applyProtection="1">
      <alignment vertical="top" wrapText="1"/>
      <protection locked="0"/>
    </xf>
    <xf numFmtId="40" fontId="48" fillId="0" borderId="21" xfId="282" applyNumberFormat="1" applyFont="1" applyFill="1" applyBorder="1" applyAlignment="1">
      <alignment horizontal="left" vertical="center" shrinkToFit="1"/>
    </xf>
    <xf numFmtId="40" fontId="47" fillId="0" borderId="21" xfId="282" applyNumberFormat="1" applyFont="1" applyFill="1" applyBorder="1" applyAlignment="1" applyProtection="1">
      <alignment horizontal="center" vertical="top" wrapText="1"/>
      <protection locked="0"/>
    </xf>
    <xf numFmtId="40" fontId="48" fillId="0" borderId="0" xfId="282" applyNumberFormat="1" applyFont="1" applyFill="1" applyBorder="1" applyAlignment="1" applyProtection="1">
      <alignment horizontal="center" vertical="top" wrapText="1"/>
      <protection locked="0"/>
    </xf>
    <xf numFmtId="40" fontId="48" fillId="0" borderId="0" xfId="282" applyNumberFormat="1" applyFont="1" applyFill="1" applyBorder="1" applyAlignment="1" applyProtection="1">
      <alignment vertical="top" wrapText="1"/>
      <protection locked="0"/>
    </xf>
    <xf numFmtId="40" fontId="47" fillId="0" borderId="21" xfId="282" applyNumberFormat="1" applyFont="1" applyFill="1" applyBorder="1" applyAlignment="1">
      <alignment horizontal="left" vertical="center" shrinkToFit="1"/>
    </xf>
    <xf numFmtId="40" fontId="47" fillId="0" borderId="24" xfId="282" applyNumberFormat="1" applyFont="1" applyFill="1" applyBorder="1" applyAlignment="1">
      <alignment horizontal="left" vertical="center" shrinkToFit="1"/>
    </xf>
    <xf numFmtId="40" fontId="47" fillId="7" borderId="21" xfId="282" applyNumberFormat="1" applyFont="1" applyFill="1" applyBorder="1" applyAlignment="1" applyProtection="1">
      <alignment vertical="top"/>
      <protection hidden="1" locked="0"/>
    </xf>
    <xf numFmtId="40" fontId="48" fillId="0" borderId="28" xfId="0" applyNumberFormat="1" applyFont="1" applyFill="1" applyBorder="1" applyAlignment="1" applyProtection="1">
      <alignment vertical="top" shrinkToFit="1"/>
      <protection locked="0"/>
    </xf>
    <xf numFmtId="40" fontId="47" fillId="0" borderId="21" xfId="282" applyNumberFormat="1" applyFont="1" applyFill="1" applyBorder="1" applyAlignment="1" applyProtection="1">
      <alignment vertical="top"/>
      <protection locked="0"/>
    </xf>
    <xf numFmtId="40" fontId="47" fillId="0" borderId="0" xfId="282" applyNumberFormat="1" applyFont="1" applyFill="1" applyBorder="1" applyAlignment="1" applyProtection="1">
      <alignment vertical="top"/>
      <protection locked="0"/>
    </xf>
    <xf numFmtId="40" fontId="48" fillId="0" borderId="24" xfId="0" applyNumberFormat="1" applyFont="1" applyFill="1" applyBorder="1" applyAlignment="1">
      <alignment vertical="top"/>
    </xf>
    <xf numFmtId="40" fontId="48" fillId="0" borderId="0" xfId="0" applyNumberFormat="1" applyFont="1" applyFill="1" applyBorder="1" applyAlignment="1">
      <alignment vertical="top"/>
    </xf>
    <xf numFmtId="40" fontId="47" fillId="0" borderId="28" xfId="0" applyNumberFormat="1" applyFont="1" applyFill="1" applyBorder="1" applyAlignment="1" applyProtection="1">
      <alignment vertical="top" shrinkToFit="1"/>
      <protection locked="0"/>
    </xf>
    <xf numFmtId="40" fontId="47" fillId="0" borderId="0" xfId="282" applyNumberFormat="1" applyFont="1" applyFill="1" applyBorder="1" applyAlignment="1" applyProtection="1">
      <alignment horizontal="center" vertical="top" wrapText="1"/>
      <protection locked="0"/>
    </xf>
    <xf numFmtId="40" fontId="47" fillId="7" borderId="21" xfId="282" applyNumberFormat="1" applyFont="1" applyFill="1" applyBorder="1" applyAlignment="1" applyProtection="1">
      <alignment horizontal="center" vertical="top" wrapText="1"/>
      <protection/>
    </xf>
    <xf numFmtId="40" fontId="48" fillId="0" borderId="28" xfId="0" applyNumberFormat="1" applyFont="1" applyFill="1" applyBorder="1" applyAlignment="1">
      <alignment horizontal="left" vertical="top" shrinkToFit="1"/>
    </xf>
    <xf numFmtId="40" fontId="48" fillId="0" borderId="28" xfId="0" applyNumberFormat="1" applyFont="1" applyFill="1" applyBorder="1" applyAlignment="1">
      <alignment vertical="top" shrinkToFit="1"/>
    </xf>
    <xf numFmtId="40" fontId="49" fillId="0" borderId="28" xfId="0" applyNumberFormat="1" applyFont="1" applyFill="1" applyBorder="1" applyAlignment="1">
      <alignment vertical="top" shrinkToFit="1"/>
    </xf>
    <xf numFmtId="40" fontId="48" fillId="0" borderId="30" xfId="0" applyNumberFormat="1" applyFont="1" applyFill="1" applyBorder="1" applyAlignment="1">
      <alignment vertical="top" shrinkToFit="1"/>
    </xf>
    <xf numFmtId="40" fontId="47" fillId="0" borderId="22" xfId="282" applyNumberFormat="1" applyFont="1" applyFill="1" applyBorder="1" applyAlignment="1" applyProtection="1">
      <alignment vertical="top" wrapText="1"/>
      <protection locked="0"/>
    </xf>
    <xf numFmtId="40" fontId="47" fillId="50" borderId="31" xfId="0" applyNumberFormat="1" applyFont="1" applyFill="1" applyBorder="1" applyAlignment="1" applyProtection="1">
      <alignment horizontal="center" vertical="top" shrinkToFit="1"/>
      <protection locked="0"/>
    </xf>
    <xf numFmtId="40" fontId="47" fillId="50" borderId="19" xfId="282" applyNumberFormat="1" applyFont="1" applyFill="1" applyBorder="1" applyAlignment="1" applyProtection="1">
      <alignment horizontal="center" vertical="top" wrapText="1"/>
      <protection/>
    </xf>
    <xf numFmtId="40" fontId="47" fillId="0" borderId="32" xfId="0" applyNumberFormat="1" applyFont="1" applyFill="1" applyBorder="1" applyAlignment="1" applyProtection="1">
      <alignment vertical="top" shrinkToFit="1"/>
      <protection locked="0"/>
    </xf>
    <xf numFmtId="40" fontId="47" fillId="0" borderId="19" xfId="282" applyNumberFormat="1" applyFont="1" applyFill="1" applyBorder="1" applyAlignment="1" applyProtection="1">
      <alignment vertical="top"/>
      <protection/>
    </xf>
    <xf numFmtId="40" fontId="47" fillId="7" borderId="21" xfId="0" applyNumberFormat="1" applyFont="1" applyFill="1" applyBorder="1" applyAlignment="1" applyProtection="1">
      <alignment vertical="top" shrinkToFit="1"/>
      <protection locked="0"/>
    </xf>
    <xf numFmtId="40" fontId="47" fillId="7" borderId="19" xfId="282" applyNumberFormat="1" applyFont="1" applyFill="1" applyBorder="1" applyAlignment="1" applyProtection="1">
      <alignment horizontal="center" vertical="top" wrapText="1"/>
      <protection locked="0"/>
    </xf>
    <xf numFmtId="40" fontId="48" fillId="0" borderId="24" xfId="0" applyNumberFormat="1" applyFont="1" applyFill="1" applyBorder="1" applyAlignment="1" applyProtection="1">
      <alignment vertical="top" shrinkToFit="1"/>
      <protection locked="0"/>
    </xf>
    <xf numFmtId="40" fontId="48" fillId="0" borderId="23" xfId="282" applyNumberFormat="1" applyFont="1" applyFill="1" applyBorder="1" applyAlignment="1" applyProtection="1">
      <alignment horizontal="center" vertical="top" wrapText="1"/>
      <protection locked="0"/>
    </xf>
    <xf numFmtId="40" fontId="47" fillId="7" borderId="20" xfId="282" applyNumberFormat="1" applyFont="1" applyFill="1" applyBorder="1" applyAlignment="1" applyProtection="1">
      <alignment horizontal="center" vertical="top" wrapText="1"/>
      <protection/>
    </xf>
    <xf numFmtId="40" fontId="48" fillId="0" borderId="30" xfId="0" applyNumberFormat="1" applyFont="1" applyFill="1" applyBorder="1" applyAlignment="1" applyProtection="1">
      <alignment vertical="top" shrinkToFit="1"/>
      <protection locked="0"/>
    </xf>
    <xf numFmtId="40" fontId="47" fillId="6" borderId="33" xfId="0" applyNumberFormat="1" applyFont="1" applyFill="1" applyBorder="1" applyAlignment="1" applyProtection="1">
      <alignment horizontal="left" vertical="top" shrinkToFit="1"/>
      <protection locked="0"/>
    </xf>
    <xf numFmtId="40" fontId="47" fillId="6" borderId="21" xfId="282" applyNumberFormat="1" applyFont="1" applyFill="1" applyBorder="1" applyAlignment="1" applyProtection="1">
      <alignment horizontal="center" vertical="top" wrapText="1"/>
      <protection/>
    </xf>
    <xf numFmtId="40" fontId="47" fillId="7" borderId="27" xfId="0" applyNumberFormat="1" applyFont="1" applyFill="1" applyBorder="1" applyAlignment="1" applyProtection="1">
      <alignment vertical="top" shrinkToFit="1"/>
      <protection locked="0"/>
    </xf>
    <xf numFmtId="40" fontId="47" fillId="7" borderId="21" xfId="282" applyNumberFormat="1" applyFont="1" applyFill="1" applyBorder="1" applyAlignment="1" applyProtection="1">
      <alignment vertical="top" wrapText="1"/>
      <protection/>
    </xf>
    <xf numFmtId="40" fontId="48" fillId="7" borderId="28" xfId="0" applyNumberFormat="1" applyFont="1" applyFill="1" applyBorder="1" applyAlignment="1" applyProtection="1">
      <alignment vertical="top" shrinkToFit="1"/>
      <protection locked="0"/>
    </xf>
    <xf numFmtId="40" fontId="48" fillId="0" borderId="25" xfId="0" applyNumberFormat="1" applyFont="1" applyFill="1" applyBorder="1" applyAlignment="1">
      <alignment vertical="top"/>
    </xf>
    <xf numFmtId="40" fontId="47" fillId="0" borderId="24" xfId="0" applyNumberFormat="1" applyFont="1" applyFill="1" applyBorder="1" applyAlignment="1">
      <alignment vertical="top"/>
    </xf>
    <xf numFmtId="40" fontId="47" fillId="6" borderId="30" xfId="0" applyNumberFormat="1" applyFont="1" applyFill="1" applyBorder="1" applyAlignment="1" applyProtection="1">
      <alignment vertical="top" shrinkToFit="1"/>
      <protection/>
    </xf>
    <xf numFmtId="40" fontId="47" fillId="6" borderId="34" xfId="282" applyNumberFormat="1" applyFont="1" applyFill="1" applyBorder="1" applyAlignment="1" applyProtection="1">
      <alignment vertical="top" wrapText="1"/>
      <protection/>
    </xf>
    <xf numFmtId="40" fontId="47" fillId="50" borderId="33" xfId="0" applyNumberFormat="1" applyFont="1" applyFill="1" applyBorder="1" applyAlignment="1" applyProtection="1">
      <alignment vertical="top" shrinkToFit="1"/>
      <protection/>
    </xf>
    <xf numFmtId="40" fontId="47" fillId="50" borderId="19" xfId="282" applyNumberFormat="1" applyFont="1" applyFill="1" applyBorder="1" applyAlignment="1" applyProtection="1">
      <alignment vertical="top" wrapText="1"/>
      <protection locked="0"/>
    </xf>
    <xf numFmtId="40" fontId="47" fillId="12" borderId="31" xfId="0" applyNumberFormat="1" applyFont="1" applyFill="1" applyBorder="1" applyAlignment="1" applyProtection="1">
      <alignment vertical="top" shrinkToFit="1"/>
      <protection/>
    </xf>
    <xf numFmtId="40" fontId="47" fillId="12" borderId="35" xfId="282" applyNumberFormat="1" applyFont="1" applyFill="1" applyBorder="1" applyAlignment="1" applyProtection="1">
      <alignment vertical="top" wrapText="1"/>
      <protection locked="0"/>
    </xf>
    <xf numFmtId="40" fontId="47" fillId="0" borderId="36" xfId="0" applyNumberFormat="1" applyFont="1" applyFill="1" applyBorder="1" applyAlignment="1" applyProtection="1">
      <alignment vertical="top" shrinkToFit="1"/>
      <protection/>
    </xf>
    <xf numFmtId="40" fontId="47" fillId="0" borderId="26" xfId="282" applyNumberFormat="1" applyFont="1" applyFill="1" applyBorder="1" applyAlignment="1" applyProtection="1">
      <alignment vertical="top" wrapText="1"/>
      <protection locked="0"/>
    </xf>
    <xf numFmtId="40" fontId="47" fillId="0" borderId="31" xfId="0" applyNumberFormat="1" applyFont="1" applyFill="1" applyBorder="1" applyAlignment="1" applyProtection="1">
      <alignment vertical="top" shrinkToFit="1"/>
      <protection/>
    </xf>
    <xf numFmtId="40" fontId="47" fillId="0" borderId="19" xfId="282" applyNumberFormat="1" applyFont="1" applyFill="1" applyBorder="1" applyAlignment="1" applyProtection="1">
      <alignment vertical="top" wrapText="1"/>
      <protection locked="0"/>
    </xf>
    <xf numFmtId="40" fontId="47" fillId="0" borderId="19" xfId="0" applyNumberFormat="1" applyFont="1" applyFill="1" applyBorder="1" applyAlignment="1" applyProtection="1">
      <alignment vertical="top" shrinkToFit="1"/>
      <protection/>
    </xf>
    <xf numFmtId="40" fontId="47" fillId="32" borderId="19" xfId="0" applyNumberFormat="1" applyFont="1" applyFill="1" applyBorder="1" applyAlignment="1" applyProtection="1">
      <alignment vertical="top" shrinkToFit="1"/>
      <protection/>
    </xf>
    <xf numFmtId="40" fontId="47" fillId="32" borderId="19" xfId="282" applyNumberFormat="1" applyFont="1" applyFill="1" applyBorder="1" applyAlignment="1" applyProtection="1">
      <alignment vertical="top" wrapText="1"/>
      <protection locked="0"/>
    </xf>
    <xf numFmtId="40" fontId="47" fillId="0" borderId="37" xfId="0" applyNumberFormat="1" applyFont="1" applyFill="1" applyBorder="1" applyAlignment="1" applyProtection="1">
      <alignment vertical="top" shrinkToFit="1"/>
      <protection/>
    </xf>
    <xf numFmtId="40" fontId="47" fillId="13" borderId="38" xfId="0" applyNumberFormat="1" applyFont="1" applyFill="1" applyBorder="1" applyAlignment="1" applyProtection="1">
      <alignment horizontal="center" vertical="top" shrinkToFit="1"/>
      <protection/>
    </xf>
    <xf numFmtId="40" fontId="47" fillId="13" borderId="19" xfId="0" applyNumberFormat="1" applyFont="1" applyFill="1" applyBorder="1" applyAlignment="1">
      <alignment horizontal="center" vertical="top"/>
    </xf>
    <xf numFmtId="40" fontId="47" fillId="0" borderId="38" xfId="0" applyNumberFormat="1" applyFont="1" applyFill="1" applyBorder="1" applyAlignment="1" applyProtection="1">
      <alignment horizontal="left" vertical="top" shrinkToFit="1"/>
      <protection/>
    </xf>
    <xf numFmtId="40" fontId="47" fillId="0" borderId="19" xfId="282" applyNumberFormat="1" applyFont="1" applyFill="1" applyBorder="1" applyAlignment="1" applyProtection="1">
      <alignment horizontal="center" vertical="top" wrapText="1"/>
      <protection/>
    </xf>
    <xf numFmtId="40" fontId="47" fillId="0" borderId="38" xfId="0" applyNumberFormat="1" applyFont="1" applyFill="1" applyBorder="1" applyAlignment="1" applyProtection="1">
      <alignment horizontal="center" vertical="top" shrinkToFit="1"/>
      <protection/>
    </xf>
    <xf numFmtId="40" fontId="47" fillId="0" borderId="39" xfId="0" applyNumberFormat="1" applyFont="1" applyFill="1" applyBorder="1" applyAlignment="1" applyProtection="1">
      <alignment horizontal="left" vertical="top" shrinkToFit="1"/>
      <protection/>
    </xf>
    <xf numFmtId="40" fontId="47" fillId="13" borderId="40" xfId="0" applyNumberFormat="1" applyFont="1" applyFill="1" applyBorder="1" applyAlignment="1" applyProtection="1">
      <alignment horizontal="left" vertical="top" shrinkToFit="1"/>
      <protection/>
    </xf>
    <xf numFmtId="40" fontId="47" fillId="13" borderId="19" xfId="282" applyNumberFormat="1" applyFont="1" applyFill="1" applyBorder="1" applyAlignment="1" applyProtection="1">
      <alignment horizontal="center" vertical="top" wrapText="1"/>
      <protection/>
    </xf>
    <xf numFmtId="40" fontId="47" fillId="0" borderId="0" xfId="0" applyNumberFormat="1" applyFont="1" applyFill="1" applyAlignment="1">
      <alignment vertical="top" shrinkToFit="1"/>
    </xf>
    <xf numFmtId="40" fontId="48" fillId="0" borderId="0" xfId="0" applyNumberFormat="1" applyFont="1" applyFill="1" applyAlignment="1">
      <alignment vertical="top" shrinkToFit="1"/>
    </xf>
    <xf numFmtId="40" fontId="47" fillId="0" borderId="0" xfId="0" applyNumberFormat="1" applyFont="1" applyFill="1" applyAlignment="1">
      <alignment horizontal="center" vertical="top" shrinkToFit="1"/>
    </xf>
    <xf numFmtId="0" fontId="7" fillId="48" borderId="41" xfId="0" applyFont="1" applyFill="1" applyBorder="1" applyAlignment="1">
      <alignment horizontal="center" vertical="top" shrinkToFit="1"/>
    </xf>
    <xf numFmtId="43" fontId="10" fillId="48" borderId="42" xfId="282" applyFont="1" applyFill="1" applyBorder="1" applyAlignment="1">
      <alignment horizontal="center"/>
    </xf>
    <xf numFmtId="197" fontId="42" fillId="48" borderId="42" xfId="282" applyNumberFormat="1" applyFont="1" applyFill="1" applyBorder="1" applyAlignment="1">
      <alignment horizontal="center" vertical="top"/>
    </xf>
    <xf numFmtId="197" fontId="3" fillId="48" borderId="42" xfId="282" applyNumberFormat="1" applyFont="1" applyFill="1" applyBorder="1" applyAlignment="1">
      <alignment horizontal="center" vertical="top"/>
    </xf>
    <xf numFmtId="197" fontId="2" fillId="48" borderId="42" xfId="282" applyNumberFormat="1" applyFont="1" applyFill="1" applyBorder="1" applyAlignment="1">
      <alignment horizontal="center" vertical="top"/>
    </xf>
    <xf numFmtId="197" fontId="3" fillId="48" borderId="43" xfId="282" applyNumberFormat="1" applyFont="1" applyFill="1" applyBorder="1" applyAlignment="1">
      <alignment horizontal="center" vertical="top"/>
    </xf>
    <xf numFmtId="0" fontId="51" fillId="48" borderId="0" xfId="0" applyFont="1" applyFill="1" applyAlignment="1">
      <alignment/>
    </xf>
    <xf numFmtId="0" fontId="7" fillId="0" borderId="41" xfId="0" applyFont="1" applyFill="1" applyBorder="1" applyAlignment="1">
      <alignment horizontal="left" vertical="top" shrinkToFit="1"/>
    </xf>
    <xf numFmtId="43" fontId="2" fillId="0" borderId="42" xfId="282" applyFont="1" applyFill="1" applyBorder="1" applyAlignment="1">
      <alignment horizontal="center" vertical="top"/>
    </xf>
    <xf numFmtId="43" fontId="52" fillId="0" borderId="42" xfId="282" applyFont="1" applyFill="1" applyBorder="1" applyAlignment="1">
      <alignment vertical="top"/>
    </xf>
    <xf numFmtId="43" fontId="11" fillId="0" borderId="42" xfId="282" applyFont="1" applyFill="1" applyBorder="1" applyAlignment="1">
      <alignment vertical="top"/>
    </xf>
    <xf numFmtId="0" fontId="53" fillId="0" borderId="42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0" fontId="2" fillId="0" borderId="42" xfId="0" applyFont="1" applyFill="1" applyBorder="1" applyAlignment="1">
      <alignment vertical="top"/>
    </xf>
    <xf numFmtId="0" fontId="3" fillId="0" borderId="43" xfId="0" applyFont="1" applyFill="1" applyBorder="1" applyAlignment="1">
      <alignment vertical="top"/>
    </xf>
    <xf numFmtId="0" fontId="51" fillId="0" borderId="0" xfId="0" applyFont="1" applyAlignment="1">
      <alignment/>
    </xf>
    <xf numFmtId="0" fontId="8" fillId="0" borderId="41" xfId="0" applyFont="1" applyFill="1" applyBorder="1" applyAlignment="1" applyProtection="1">
      <alignment vertical="top" shrinkToFit="1"/>
      <protection locked="0"/>
    </xf>
    <xf numFmtId="0" fontId="8" fillId="32" borderId="41" xfId="0" applyFont="1" applyFill="1" applyBorder="1" applyAlignment="1">
      <alignment vertical="top" shrinkToFit="1"/>
    </xf>
    <xf numFmtId="43" fontId="2" fillId="32" borderId="42" xfId="282" applyFont="1" applyFill="1" applyBorder="1" applyAlignment="1">
      <alignment vertical="top"/>
    </xf>
    <xf numFmtId="43" fontId="50" fillId="32" borderId="42" xfId="282" applyFont="1" applyFill="1" applyBorder="1" applyAlignment="1">
      <alignment vertical="top"/>
    </xf>
    <xf numFmtId="43" fontId="42" fillId="32" borderId="42" xfId="282" applyFont="1" applyFill="1" applyBorder="1" applyAlignment="1">
      <alignment vertical="top"/>
    </xf>
    <xf numFmtId="43" fontId="50" fillId="0" borderId="42" xfId="282" applyFont="1" applyFill="1" applyBorder="1" applyAlignment="1">
      <alignment vertical="top"/>
    </xf>
    <xf numFmtId="43" fontId="2" fillId="0" borderId="42" xfId="282" applyFont="1" applyFill="1" applyBorder="1" applyAlignment="1">
      <alignment vertical="top"/>
    </xf>
    <xf numFmtId="43" fontId="42" fillId="0" borderId="42" xfId="282" applyFont="1" applyFill="1" applyBorder="1" applyAlignment="1">
      <alignment vertical="top"/>
    </xf>
    <xf numFmtId="43" fontId="2" fillId="0" borderId="43" xfId="282" applyFont="1" applyFill="1" applyBorder="1" applyAlignment="1">
      <alignment vertical="top"/>
    </xf>
    <xf numFmtId="43" fontId="50" fillId="0" borderId="42" xfId="282" applyFont="1" applyFill="1" applyBorder="1" applyAlignment="1">
      <alignment horizontal="center" vertical="top"/>
    </xf>
    <xf numFmtId="197" fontId="42" fillId="0" borderId="42" xfId="282" applyNumberFormat="1" applyFont="1" applyFill="1" applyBorder="1" applyAlignment="1">
      <alignment horizontal="center" vertical="top"/>
    </xf>
    <xf numFmtId="197" fontId="3" fillId="0" borderId="42" xfId="282" applyNumberFormat="1" applyFont="1" applyFill="1" applyBorder="1" applyAlignment="1">
      <alignment horizontal="center" vertical="top"/>
    </xf>
    <xf numFmtId="197" fontId="2" fillId="0" borderId="42" xfId="282" applyNumberFormat="1" applyFont="1" applyFill="1" applyBorder="1" applyAlignment="1">
      <alignment horizontal="center" vertical="top"/>
    </xf>
    <xf numFmtId="197" fontId="3" fillId="0" borderId="43" xfId="282" applyNumberFormat="1" applyFont="1" applyFill="1" applyBorder="1" applyAlignment="1">
      <alignment horizontal="center" vertical="top"/>
    </xf>
    <xf numFmtId="43" fontId="2" fillId="32" borderId="43" xfId="282" applyFont="1" applyFill="1" applyBorder="1" applyAlignment="1">
      <alignment vertical="top"/>
    </xf>
    <xf numFmtId="43" fontId="11" fillId="0" borderId="42" xfId="0" applyNumberFormat="1" applyFont="1" applyFill="1" applyBorder="1" applyAlignment="1">
      <alignment vertical="top"/>
    </xf>
    <xf numFmtId="0" fontId="8" fillId="32" borderId="44" xfId="0" applyFont="1" applyFill="1" applyBorder="1" applyAlignment="1">
      <alignment vertical="top" shrinkToFit="1"/>
    </xf>
    <xf numFmtId="43" fontId="2" fillId="32" borderId="45" xfId="282" applyFont="1" applyFill="1" applyBorder="1" applyAlignment="1">
      <alignment vertical="top"/>
    </xf>
    <xf numFmtId="43" fontId="50" fillId="32" borderId="45" xfId="282" applyFont="1" applyFill="1" applyBorder="1" applyAlignment="1">
      <alignment vertical="top"/>
    </xf>
    <xf numFmtId="43" fontId="42" fillId="32" borderId="45" xfId="282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0" fontId="2" fillId="0" borderId="45" xfId="0" applyFont="1" applyFill="1" applyBorder="1" applyAlignment="1">
      <alignment vertical="top"/>
    </xf>
    <xf numFmtId="0" fontId="3" fillId="0" borderId="46" xfId="0" applyFont="1" applyFill="1" applyBorder="1" applyAlignment="1">
      <alignment vertical="top"/>
    </xf>
    <xf numFmtId="43" fontId="9" fillId="0" borderId="21" xfId="282" applyFont="1" applyFill="1" applyBorder="1" applyAlignment="1" applyProtection="1">
      <alignment vertical="top" wrapText="1"/>
      <protection locked="0"/>
    </xf>
    <xf numFmtId="43" fontId="2" fillId="0" borderId="0" xfId="282" applyFont="1" applyAlignment="1" applyProtection="1">
      <alignment horizontal="center" vertical="top" shrinkToFit="1"/>
      <protection locked="0"/>
    </xf>
    <xf numFmtId="43" fontId="54" fillId="0" borderId="0" xfId="282" applyFont="1" applyAlignment="1">
      <alignment/>
    </xf>
    <xf numFmtId="43" fontId="2" fillId="50" borderId="19" xfId="282" applyFont="1" applyFill="1" applyBorder="1" applyAlignment="1">
      <alignment horizontal="center" vertical="top"/>
    </xf>
    <xf numFmtId="4" fontId="2" fillId="0" borderId="19" xfId="0" applyNumberFormat="1" applyFont="1" applyFill="1" applyBorder="1" applyAlignment="1">
      <alignment vertical="top"/>
    </xf>
    <xf numFmtId="40" fontId="47" fillId="0" borderId="37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Alignment="1" applyProtection="1">
      <alignment horizontal="center" vertical="top" shrinkToFit="1"/>
      <protection locked="0"/>
    </xf>
    <xf numFmtId="0" fontId="16" fillId="0" borderId="37" xfId="0" applyFont="1" applyFill="1" applyBorder="1" applyAlignment="1" applyProtection="1">
      <alignment horizontal="center" vertical="top" shrinkToFit="1"/>
      <protection locked="0"/>
    </xf>
    <xf numFmtId="0" fontId="44" fillId="0" borderId="0" xfId="0" applyFont="1" applyAlignment="1">
      <alignment horizontal="center"/>
    </xf>
    <xf numFmtId="0" fontId="44" fillId="21" borderId="19" xfId="0" applyFont="1" applyFill="1" applyBorder="1" applyAlignment="1">
      <alignment horizontal="center"/>
    </xf>
  </cellXfs>
  <cellStyles count="346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 2" xfId="39"/>
    <cellStyle name="40% - Accent1 3" xfId="40"/>
    <cellStyle name="40% - Accent1 4" xfId="41"/>
    <cellStyle name="40% - Accent2 2" xfId="42"/>
    <cellStyle name="40% - Accent2 3" xfId="43"/>
    <cellStyle name="40% - Accent2 4" xfId="44"/>
    <cellStyle name="40% - Accent3 2" xfId="45"/>
    <cellStyle name="40% - Accent3 3" xfId="46"/>
    <cellStyle name="40% - Accent3 4" xfId="47"/>
    <cellStyle name="40% - Accent4 2" xfId="48"/>
    <cellStyle name="40% - Accent4 3" xfId="49"/>
    <cellStyle name="40% - Accent4 4" xfId="50"/>
    <cellStyle name="40% - Accent5 2" xfId="51"/>
    <cellStyle name="40% - Accent5 3" xfId="52"/>
    <cellStyle name="40% - Accent5 4" xfId="53"/>
    <cellStyle name="40% - Accent6 2" xfId="54"/>
    <cellStyle name="40% - Accent6 3" xfId="55"/>
    <cellStyle name="40% - Accent6 4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 2" xfId="63"/>
    <cellStyle name="60% - Accent1 3" xfId="64"/>
    <cellStyle name="60% - Accent1 4" xfId="65"/>
    <cellStyle name="60% - Accent2 2" xfId="66"/>
    <cellStyle name="60% - Accent2 3" xfId="67"/>
    <cellStyle name="60% - Accent2 4" xfId="68"/>
    <cellStyle name="60% - Accent3 2" xfId="69"/>
    <cellStyle name="60% - Accent3 3" xfId="70"/>
    <cellStyle name="60% - Accent3 4" xfId="71"/>
    <cellStyle name="60% - Accent4 2" xfId="72"/>
    <cellStyle name="60% - Accent4 3" xfId="73"/>
    <cellStyle name="60% - Accent4 4" xfId="74"/>
    <cellStyle name="60% - Accent5 2" xfId="75"/>
    <cellStyle name="60% - Accent5 3" xfId="76"/>
    <cellStyle name="60% - Accent5 4" xfId="77"/>
    <cellStyle name="60% - Accent6 2" xfId="78"/>
    <cellStyle name="60% - Accent6 3" xfId="79"/>
    <cellStyle name="60% - Accent6 4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 2" xfId="87"/>
    <cellStyle name="Accent1 3" xfId="88"/>
    <cellStyle name="Accent1 4" xfId="89"/>
    <cellStyle name="Accent2 2" xfId="90"/>
    <cellStyle name="Accent2 3" xfId="91"/>
    <cellStyle name="Accent2 4" xfId="92"/>
    <cellStyle name="Accent3 2" xfId="93"/>
    <cellStyle name="Accent3 3" xfId="94"/>
    <cellStyle name="Accent3 4" xfId="95"/>
    <cellStyle name="Accent4 2" xfId="96"/>
    <cellStyle name="Accent4 3" xfId="97"/>
    <cellStyle name="Accent4 4" xfId="98"/>
    <cellStyle name="Accent5 2" xfId="99"/>
    <cellStyle name="Accent5 3" xfId="100"/>
    <cellStyle name="Accent5 4" xfId="101"/>
    <cellStyle name="Accent6 2" xfId="102"/>
    <cellStyle name="Accent6 3" xfId="103"/>
    <cellStyle name="Accent6 4" xfId="104"/>
    <cellStyle name="Bad 2" xfId="105"/>
    <cellStyle name="Bad 3" xfId="106"/>
    <cellStyle name="Bad 4" xfId="107"/>
    <cellStyle name="Calculation 2" xfId="108"/>
    <cellStyle name="Calculation 3" xfId="109"/>
    <cellStyle name="Calculation 4" xfId="110"/>
    <cellStyle name="Check Cell 2" xfId="111"/>
    <cellStyle name="Check Cell 3" xfId="112"/>
    <cellStyle name="Check Cell 4" xfId="113"/>
    <cellStyle name="Comma 10" xfId="114"/>
    <cellStyle name="Comma 11" xfId="115"/>
    <cellStyle name="Comma 12" xfId="116"/>
    <cellStyle name="Comma 13" xfId="117"/>
    <cellStyle name="Comma 14" xfId="118"/>
    <cellStyle name="Comma 15" xfId="119"/>
    <cellStyle name="Comma 16" xfId="120"/>
    <cellStyle name="Comma 17" xfId="121"/>
    <cellStyle name="Comma 18" xfId="122"/>
    <cellStyle name="Comma 18 2" xfId="123"/>
    <cellStyle name="Comma 19" xfId="124"/>
    <cellStyle name="Comma 2" xfId="125"/>
    <cellStyle name="Comma 2 10" xfId="126"/>
    <cellStyle name="Comma 2 11" xfId="127"/>
    <cellStyle name="Comma 2 12" xfId="128"/>
    <cellStyle name="Comma 2 13" xfId="129"/>
    <cellStyle name="Comma 2 14" xfId="130"/>
    <cellStyle name="Comma 2 15" xfId="131"/>
    <cellStyle name="Comma 2 16" xfId="132"/>
    <cellStyle name="Comma 2 2" xfId="133"/>
    <cellStyle name="Comma 2 3" xfId="134"/>
    <cellStyle name="Comma 2 3 2" xfId="135"/>
    <cellStyle name="Comma 2 4" xfId="136"/>
    <cellStyle name="Comma 2 5" xfId="137"/>
    <cellStyle name="Comma 2 6" xfId="138"/>
    <cellStyle name="Comma 2 7" xfId="139"/>
    <cellStyle name="Comma 2 8" xfId="140"/>
    <cellStyle name="Comma 2 9" xfId="141"/>
    <cellStyle name="Comma 20" xfId="142"/>
    <cellStyle name="Comma 21" xfId="143"/>
    <cellStyle name="Comma 22" xfId="144"/>
    <cellStyle name="Comma 23" xfId="145"/>
    <cellStyle name="Comma 24" xfId="146"/>
    <cellStyle name="Comma 25" xfId="147"/>
    <cellStyle name="Comma 26" xfId="148"/>
    <cellStyle name="Comma 3" xfId="149"/>
    <cellStyle name="Comma 3 2" xfId="150"/>
    <cellStyle name="Comma 4" xfId="151"/>
    <cellStyle name="Comma 4 2" xfId="152"/>
    <cellStyle name="Comma 4 2 2" xfId="153"/>
    <cellStyle name="Comma 4 3" xfId="154"/>
    <cellStyle name="Comma 5" xfId="155"/>
    <cellStyle name="Comma 6" xfId="156"/>
    <cellStyle name="Comma 6 2" xfId="157"/>
    <cellStyle name="Comma 7" xfId="158"/>
    <cellStyle name="Comma 8" xfId="159"/>
    <cellStyle name="Comma 8 2" xfId="160"/>
    <cellStyle name="Comma 9" xfId="161"/>
    <cellStyle name="Comma 9 2" xfId="162"/>
    <cellStyle name="Explanatory Text 2" xfId="163"/>
    <cellStyle name="Explanatory Text 3" xfId="164"/>
    <cellStyle name="Explanatory Text 4" xfId="165"/>
    <cellStyle name="Followed Hyperlink" xfId="166"/>
    <cellStyle name="Good 2" xfId="167"/>
    <cellStyle name="Good 3" xfId="168"/>
    <cellStyle name="Good 4" xfId="169"/>
    <cellStyle name="Heading 1 2" xfId="170"/>
    <cellStyle name="Heading 1 3" xfId="171"/>
    <cellStyle name="Heading 1 4" xfId="172"/>
    <cellStyle name="Heading 2 2" xfId="173"/>
    <cellStyle name="Heading 2 3" xfId="174"/>
    <cellStyle name="Heading 2 4" xfId="175"/>
    <cellStyle name="Heading 3 2" xfId="176"/>
    <cellStyle name="Heading 3 3" xfId="177"/>
    <cellStyle name="Heading 3 4" xfId="178"/>
    <cellStyle name="Heading 4 2" xfId="179"/>
    <cellStyle name="Heading 4 3" xfId="180"/>
    <cellStyle name="Heading 4 4" xfId="181"/>
    <cellStyle name="Hyperlink" xfId="182"/>
    <cellStyle name="Input 2" xfId="183"/>
    <cellStyle name="Input 3" xfId="184"/>
    <cellStyle name="Input 4" xfId="185"/>
    <cellStyle name="Linked Cell 2" xfId="186"/>
    <cellStyle name="Linked Cell 3" xfId="187"/>
    <cellStyle name="Linked Cell 4" xfId="188"/>
    <cellStyle name="Neutral 2" xfId="189"/>
    <cellStyle name="Neutral 3" xfId="190"/>
    <cellStyle name="Neutral 4" xfId="191"/>
    <cellStyle name="Normal 10" xfId="192"/>
    <cellStyle name="Normal 11" xfId="193"/>
    <cellStyle name="Normal 11 2" xfId="194"/>
    <cellStyle name="Normal 12" xfId="195"/>
    <cellStyle name="Normal 12 2" xfId="196"/>
    <cellStyle name="Normal 12 3" xfId="197"/>
    <cellStyle name="Normal 12 4" xfId="198"/>
    <cellStyle name="Normal 13" xfId="199"/>
    <cellStyle name="Normal 14" xfId="200"/>
    <cellStyle name="Normal 15" xfId="201"/>
    <cellStyle name="Normal 16" xfId="202"/>
    <cellStyle name="Normal 17" xfId="203"/>
    <cellStyle name="Normal 17 2" xfId="204"/>
    <cellStyle name="Normal 18" xfId="205"/>
    <cellStyle name="Normal 19" xfId="206"/>
    <cellStyle name="Normal 2" xfId="207"/>
    <cellStyle name="Normal 2 10" xfId="208"/>
    <cellStyle name="Normal 2 11" xfId="209"/>
    <cellStyle name="Normal 2 12" xfId="210"/>
    <cellStyle name="Normal 2 13" xfId="211"/>
    <cellStyle name="Normal 2 14" xfId="212"/>
    <cellStyle name="Normal 2 15" xfId="213"/>
    <cellStyle name="Normal 2 16" xfId="214"/>
    <cellStyle name="Normal 2 2" xfId="215"/>
    <cellStyle name="Normal 2 2 2" xfId="216"/>
    <cellStyle name="Normal 2 2 3" xfId="217"/>
    <cellStyle name="Normal 2 2 4" xfId="218"/>
    <cellStyle name="Normal 2 2 5" xfId="219"/>
    <cellStyle name="Normal 2 2 6" xfId="220"/>
    <cellStyle name="Normal 2 2 7" xfId="221"/>
    <cellStyle name="Normal 2 2 8" xfId="222"/>
    <cellStyle name="Normal 2 2 9" xfId="223"/>
    <cellStyle name="Normal 2 3" xfId="224"/>
    <cellStyle name="Normal 2 4" xfId="225"/>
    <cellStyle name="Normal 2 4 2" xfId="226"/>
    <cellStyle name="Normal 2 4 2 2" xfId="227"/>
    <cellStyle name="Normal 2 4 3" xfId="228"/>
    <cellStyle name="Normal 2 4 4" xfId="229"/>
    <cellStyle name="Normal 2 5" xfId="230"/>
    <cellStyle name="Normal 2 6" xfId="231"/>
    <cellStyle name="Normal 2 7" xfId="232"/>
    <cellStyle name="Normal 2 8" xfId="233"/>
    <cellStyle name="Normal 2 9" xfId="234"/>
    <cellStyle name="Normal 20" xfId="235"/>
    <cellStyle name="Normal 21" xfId="236"/>
    <cellStyle name="Normal 22" xfId="237"/>
    <cellStyle name="Normal 23" xfId="238"/>
    <cellStyle name="Normal 24" xfId="239"/>
    <cellStyle name="Normal 25" xfId="240"/>
    <cellStyle name="Normal 26" xfId="241"/>
    <cellStyle name="Normal 3" xfId="242"/>
    <cellStyle name="Normal 3 2" xfId="243"/>
    <cellStyle name="Normal 3 3" xfId="244"/>
    <cellStyle name="Normal 3 4" xfId="245"/>
    <cellStyle name="Normal 3 5" xfId="246"/>
    <cellStyle name="Normal 30" xfId="247"/>
    <cellStyle name="Normal 4" xfId="248"/>
    <cellStyle name="Normal 4 2" xfId="249"/>
    <cellStyle name="Normal 5" xfId="250"/>
    <cellStyle name="Normal 5 2" xfId="251"/>
    <cellStyle name="Normal 6" xfId="252"/>
    <cellStyle name="Normal 7" xfId="253"/>
    <cellStyle name="Normal 7 2" xfId="254"/>
    <cellStyle name="Normal 8" xfId="255"/>
    <cellStyle name="Normal 9" xfId="256"/>
    <cellStyle name="Note 2" xfId="257"/>
    <cellStyle name="Note 3" xfId="258"/>
    <cellStyle name="Note 4" xfId="259"/>
    <cellStyle name="Output 2" xfId="260"/>
    <cellStyle name="Output 3" xfId="261"/>
    <cellStyle name="Output 4" xfId="262"/>
    <cellStyle name="Percent 2" xfId="263"/>
    <cellStyle name="Percent 3" xfId="264"/>
    <cellStyle name="Percent 4" xfId="265"/>
    <cellStyle name="Percent 5" xfId="266"/>
    <cellStyle name="Percent 6" xfId="267"/>
    <cellStyle name="Percent 6 2" xfId="268"/>
    <cellStyle name="Percent 7" xfId="269"/>
    <cellStyle name="Title 2" xfId="270"/>
    <cellStyle name="Title 3" xfId="271"/>
    <cellStyle name="Title 4" xfId="272"/>
    <cellStyle name="Total 2" xfId="273"/>
    <cellStyle name="Total 3" xfId="274"/>
    <cellStyle name="Total 4" xfId="275"/>
    <cellStyle name="Warning Text 2" xfId="276"/>
    <cellStyle name="Warning Text 3" xfId="277"/>
    <cellStyle name="Warning Text 4" xfId="278"/>
    <cellStyle name="การคำนวณ" xfId="279"/>
    <cellStyle name="ข้อความเตือน" xfId="280"/>
    <cellStyle name="ข้อความอธิบาย" xfId="281"/>
    <cellStyle name="Comma" xfId="282"/>
    <cellStyle name="Comma [0]" xfId="283"/>
    <cellStyle name="เครื่องหมายจุลภาค 2" xfId="284"/>
    <cellStyle name="เครื่องหมายจุลภาค 2 2" xfId="285"/>
    <cellStyle name="เครื่องหมายจุลภาค 2 3" xfId="286"/>
    <cellStyle name="เครื่องหมายจุลภาค 2 4" xfId="287"/>
    <cellStyle name="เครื่องหมายจุลภาค 2 5" xfId="288"/>
    <cellStyle name="เครื่องหมายจุลภาค 2 6" xfId="289"/>
    <cellStyle name="เครื่องหมายจุลภาค 2 7" xfId="290"/>
    <cellStyle name="เครื่องหมายจุลภาค 2 8" xfId="291"/>
    <cellStyle name="เครื่องหมายจุลภาค 2 9" xfId="292"/>
    <cellStyle name="เครื่องหมายจุลภาค 3" xfId="293"/>
    <cellStyle name="เครื่องหมายจุลภาค 3 2" xfId="294"/>
    <cellStyle name="เครื่องหมายจุลภาค 3 3" xfId="295"/>
    <cellStyle name="เครื่องหมายจุลภาค 3 4" xfId="296"/>
    <cellStyle name="เครื่องหมายจุลภาค 3 5" xfId="297"/>
    <cellStyle name="เครื่องหมายจุลภาค 3 6" xfId="298"/>
    <cellStyle name="เครื่องหมายจุลภาค 3 7" xfId="299"/>
    <cellStyle name="เครื่องหมายจุลภาค 3 8" xfId="300"/>
    <cellStyle name="เครื่องหมายจุลภาค 3 9" xfId="301"/>
    <cellStyle name="เครื่องหมายจุลภาค 4" xfId="302"/>
    <cellStyle name="เครื่องหมายจุลภาค 5" xfId="303"/>
    <cellStyle name="เครื่องหมายจุลภาค 6" xfId="304"/>
    <cellStyle name="เครื่องหมายจุลภาค 7" xfId="305"/>
    <cellStyle name="Currency" xfId="306"/>
    <cellStyle name="Currency [0]" xfId="307"/>
    <cellStyle name="ชื่อเรื่อง" xfId="308"/>
    <cellStyle name="เซลล์ตรวจสอบ" xfId="309"/>
    <cellStyle name="เซลล์ที่มีการเชื่อมโยง" xfId="310"/>
    <cellStyle name="ดี" xfId="311"/>
    <cellStyle name="ปกติ 10" xfId="312"/>
    <cellStyle name="ปกติ 11" xfId="313"/>
    <cellStyle name="ปกติ 2" xfId="314"/>
    <cellStyle name="ปกติ 2 2" xfId="315"/>
    <cellStyle name="ปกติ 2 2 2" xfId="316"/>
    <cellStyle name="ปกติ 2 3" xfId="317"/>
    <cellStyle name="ปกติ 2 4" xfId="318"/>
    <cellStyle name="ปกติ 2 5" xfId="319"/>
    <cellStyle name="ปกติ 2 6" xfId="320"/>
    <cellStyle name="ปกติ 2 7" xfId="321"/>
    <cellStyle name="ปกติ 2 8" xfId="322"/>
    <cellStyle name="ปกติ 2 9" xfId="323"/>
    <cellStyle name="ปกติ 3" xfId="324"/>
    <cellStyle name="ปกติ 3 10" xfId="325"/>
    <cellStyle name="ปกติ 3 11" xfId="326"/>
    <cellStyle name="ปกติ 3 12" xfId="327"/>
    <cellStyle name="ปกติ 3 2" xfId="328"/>
    <cellStyle name="ปกติ 3 3" xfId="329"/>
    <cellStyle name="ปกติ 3 4" xfId="330"/>
    <cellStyle name="ปกติ 3 5" xfId="331"/>
    <cellStyle name="ปกติ 3 6" xfId="332"/>
    <cellStyle name="ปกติ 3 7" xfId="333"/>
    <cellStyle name="ปกติ 3 8" xfId="334"/>
    <cellStyle name="ปกติ 3 9" xfId="335"/>
    <cellStyle name="ปกติ 4" xfId="336"/>
    <cellStyle name="ปกติ 5" xfId="337"/>
    <cellStyle name="ปกติ 6" xfId="338"/>
    <cellStyle name="ปกติ 7" xfId="339"/>
    <cellStyle name="ปกติ 8" xfId="340"/>
    <cellStyle name="ปกติ 9" xfId="341"/>
    <cellStyle name="ป้อนค่า" xfId="342"/>
    <cellStyle name="ปานกลาง" xfId="343"/>
    <cellStyle name="Percent" xfId="344"/>
    <cellStyle name="ผลรวม" xfId="345"/>
    <cellStyle name="แย่" xfId="346"/>
    <cellStyle name="ลักษณะ 1" xfId="347"/>
    <cellStyle name="ส่วนที่ถูกเน้น1" xfId="348"/>
    <cellStyle name="ส่วนที่ถูกเน้น2" xfId="349"/>
    <cellStyle name="ส่วนที่ถูกเน้น3" xfId="350"/>
    <cellStyle name="ส่วนที่ถูกเน้น4" xfId="351"/>
    <cellStyle name="ส่วนที่ถูกเน้น5" xfId="352"/>
    <cellStyle name="ส่วนที่ถูกเน้น6" xfId="353"/>
    <cellStyle name="แสดงผล" xfId="354"/>
    <cellStyle name="หมายเหตุ" xfId="355"/>
    <cellStyle name="หัวเรื่อง 1" xfId="356"/>
    <cellStyle name="หัวเรื่อง 2" xfId="357"/>
    <cellStyle name="หัวเรื่อง 3" xfId="358"/>
    <cellStyle name="หัวเรื่อง 4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0</xdr:row>
      <xdr:rowOff>47625</xdr:rowOff>
    </xdr:from>
    <xdr:to>
      <xdr:col>21</xdr:col>
      <xdr:colOff>104775</xdr:colOff>
      <xdr:row>0</xdr:row>
      <xdr:rowOff>171450</xdr:rowOff>
    </xdr:to>
    <xdr:sp>
      <xdr:nvSpPr>
        <xdr:cNvPr id="1" name="AutoShape 2"/>
        <xdr:cNvSpPr>
          <a:spLocks/>
        </xdr:cNvSpPr>
      </xdr:nvSpPr>
      <xdr:spPr>
        <a:xfrm flipH="1" flipV="1">
          <a:off x="22850475" y="47625"/>
          <a:ext cx="476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92"/>
  <sheetViews>
    <sheetView zoomScalePageLayoutView="0" workbookViewId="0" topLeftCell="A179">
      <selection activeCell="B192" sqref="B192"/>
    </sheetView>
  </sheetViews>
  <sheetFormatPr defaultColWidth="9.00390625" defaultRowHeight="24.75" customHeight="1"/>
  <cols>
    <col min="1" max="1" width="44.00390625" style="333" customWidth="1"/>
    <col min="2" max="2" width="32.375" style="284" customWidth="1"/>
    <col min="3" max="42" width="13.75390625" style="284" customWidth="1"/>
    <col min="43" max="16384" width="9.00390625" style="252" customWidth="1"/>
  </cols>
  <sheetData>
    <row r="1" spans="1:42" ht="24.75" customHeight="1">
      <c r="A1" s="379" t="s">
        <v>111</v>
      </c>
      <c r="B1" s="379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</row>
    <row r="2" spans="1:42" ht="24.75" customHeight="1">
      <c r="A2" s="253" t="s">
        <v>274</v>
      </c>
      <c r="B2" s="254" t="s">
        <v>275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</row>
    <row r="3" spans="1:42" ht="24.75" customHeight="1">
      <c r="A3" s="255" t="s">
        <v>0</v>
      </c>
      <c r="B3" s="256" t="s">
        <v>276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</row>
    <row r="4" spans="1:42" s="260" customFormat="1" ht="24.75" customHeight="1">
      <c r="A4" s="257" t="s">
        <v>6</v>
      </c>
      <c r="B4" s="258">
        <f>B5+B13+B14+B23+B24+B25+B26+B27+B28+B29+B30+B31+B32+B33+B34+B35+B36+B37+B38+B39</f>
        <v>56155377.599999994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</row>
    <row r="5" spans="1:42" s="264" customFormat="1" ht="24.75" customHeight="1">
      <c r="A5" s="261" t="s">
        <v>7</v>
      </c>
      <c r="B5" s="262">
        <f>SUM(B6:B12)</f>
        <v>30439945.130000003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</row>
    <row r="6" spans="1:42" s="264" customFormat="1" ht="24.75" customHeight="1">
      <c r="A6" s="265" t="s">
        <v>8</v>
      </c>
      <c r="B6" s="266">
        <v>30090127.67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</row>
    <row r="7" spans="1:42" ht="24.75" customHeight="1">
      <c r="A7" s="265" t="s">
        <v>9</v>
      </c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</row>
    <row r="8" spans="1:42" ht="24.75" customHeight="1">
      <c r="A8" s="265" t="s">
        <v>10</v>
      </c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</row>
    <row r="9" spans="1:42" ht="24.75" customHeight="1">
      <c r="A9" s="265" t="s">
        <v>11</v>
      </c>
      <c r="B9" s="268">
        <v>349817.46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</row>
    <row r="10" spans="1:42" ht="24.75" customHeight="1">
      <c r="A10" s="265" t="s">
        <v>12</v>
      </c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</row>
    <row r="11" spans="1:42" ht="24.75" customHeight="1">
      <c r="A11" s="265" t="s">
        <v>13</v>
      </c>
      <c r="B11" s="268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</row>
    <row r="12" spans="1:42" ht="24.75" customHeight="1">
      <c r="A12" s="265" t="s">
        <v>14</v>
      </c>
      <c r="B12" s="268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</row>
    <row r="13" spans="1:42" ht="24.75" customHeight="1">
      <c r="A13" s="270" t="s">
        <v>15</v>
      </c>
      <c r="B13" s="266">
        <v>10780564.47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</row>
    <row r="14" spans="1:42" s="264" customFormat="1" ht="24.75" customHeight="1">
      <c r="A14" s="261" t="s">
        <v>16</v>
      </c>
      <c r="B14" s="271">
        <f>SUM(B15:B22)</f>
        <v>7102142.84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</row>
    <row r="15" spans="1:42" ht="24.75" customHeight="1">
      <c r="A15" s="273" t="s">
        <v>185</v>
      </c>
      <c r="B15" s="274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</row>
    <row r="16" spans="1:42" ht="24.75" customHeight="1">
      <c r="A16" s="273" t="s">
        <v>186</v>
      </c>
      <c r="B16" s="274">
        <v>6394289.63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</row>
    <row r="17" spans="1:42" ht="24.75" customHeight="1">
      <c r="A17" s="273" t="s">
        <v>187</v>
      </c>
      <c r="B17" s="26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</row>
    <row r="18" spans="1:42" ht="24.75" customHeight="1">
      <c r="A18" s="273" t="s">
        <v>188</v>
      </c>
      <c r="B18" s="26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</row>
    <row r="19" spans="1:42" ht="24.75" customHeight="1">
      <c r="A19" s="273" t="s">
        <v>189</v>
      </c>
      <c r="B19" s="266">
        <v>41000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</row>
    <row r="20" spans="1:42" ht="24.75" customHeight="1">
      <c r="A20" s="273" t="s">
        <v>190</v>
      </c>
      <c r="B20" s="266">
        <v>15000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</row>
    <row r="21" spans="1:42" ht="24.75" customHeight="1">
      <c r="A21" s="273" t="s">
        <v>191</v>
      </c>
      <c r="B21" s="266">
        <v>651853.21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</row>
    <row r="22" spans="1:42" ht="24.75" customHeight="1">
      <c r="A22" s="273" t="s">
        <v>192</v>
      </c>
      <c r="B22" s="26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</row>
    <row r="23" spans="1:42" ht="24.75" customHeight="1">
      <c r="A23" s="277" t="s">
        <v>17</v>
      </c>
      <c r="B23" s="266">
        <v>1041054.78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</row>
    <row r="24" spans="1:42" s="264" customFormat="1" ht="24.75" customHeight="1">
      <c r="A24" s="277" t="s">
        <v>18</v>
      </c>
      <c r="B24" s="266">
        <v>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</row>
    <row r="25" spans="1:42" s="264" customFormat="1" ht="24.75" customHeight="1">
      <c r="A25" s="277" t="s">
        <v>19</v>
      </c>
      <c r="B25" s="266">
        <v>100000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</row>
    <row r="26" spans="1:42" s="264" customFormat="1" ht="24.75" customHeight="1">
      <c r="A26" s="277" t="s">
        <v>20</v>
      </c>
      <c r="B26" s="266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</row>
    <row r="27" spans="1:42" s="264" customFormat="1" ht="24.75" customHeight="1">
      <c r="A27" s="277" t="s">
        <v>21</v>
      </c>
      <c r="B27" s="266">
        <v>316750.33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</row>
    <row r="28" spans="1:42" s="264" customFormat="1" ht="24.75" customHeight="1">
      <c r="A28" s="277" t="s">
        <v>22</v>
      </c>
      <c r="B28" s="266">
        <v>240582.48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</row>
    <row r="29" spans="1:42" s="264" customFormat="1" ht="24.75" customHeight="1">
      <c r="A29" s="277" t="s">
        <v>23</v>
      </c>
      <c r="B29" s="266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</row>
    <row r="30" spans="1:42" s="264" customFormat="1" ht="24.75" customHeight="1">
      <c r="A30" s="277" t="s">
        <v>24</v>
      </c>
      <c r="B30" s="266">
        <v>22281.52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</row>
    <row r="31" spans="1:42" s="264" customFormat="1" ht="24.75" customHeight="1">
      <c r="A31" s="277" t="s">
        <v>25</v>
      </c>
      <c r="B31" s="266">
        <v>120000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</row>
    <row r="32" spans="1:42" s="264" customFormat="1" ht="24.75" customHeight="1">
      <c r="A32" s="277" t="s">
        <v>26</v>
      </c>
      <c r="B32" s="266">
        <v>815120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</row>
    <row r="33" spans="1:42" s="264" customFormat="1" ht="24.75" customHeight="1">
      <c r="A33" s="277" t="s">
        <v>27</v>
      </c>
      <c r="B33" s="266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</row>
    <row r="34" spans="1:42" s="264" customFormat="1" ht="24.75" customHeight="1">
      <c r="A34" s="277" t="s">
        <v>28</v>
      </c>
      <c r="B34" s="266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</row>
    <row r="35" spans="1:42" s="264" customFormat="1" ht="24.75" customHeight="1">
      <c r="A35" s="278" t="s">
        <v>176</v>
      </c>
      <c r="B35" s="266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</row>
    <row r="36" spans="1:42" s="264" customFormat="1" ht="24.75" customHeight="1">
      <c r="A36" s="278" t="s">
        <v>175</v>
      </c>
      <c r="B36" s="266">
        <v>1960570.91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</row>
    <row r="37" spans="1:42" s="264" customFormat="1" ht="24.75" customHeight="1">
      <c r="A37" s="278" t="s">
        <v>197</v>
      </c>
      <c r="B37" s="266">
        <v>100000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</row>
    <row r="38" spans="1:42" s="264" customFormat="1" ht="24.75" customHeight="1">
      <c r="A38" s="278" t="s">
        <v>198</v>
      </c>
      <c r="B38" s="266">
        <v>1614107.14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</row>
    <row r="39" spans="1:42" s="264" customFormat="1" ht="24.75" customHeight="1">
      <c r="A39" s="261" t="s">
        <v>199</v>
      </c>
      <c r="B39" s="279">
        <f>SUM(B40:B42)</f>
        <v>1502258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</row>
    <row r="40" spans="1:42" s="264" customFormat="1" ht="24.75" customHeight="1">
      <c r="A40" s="280" t="s">
        <v>29</v>
      </c>
      <c r="B40" s="281">
        <v>1486920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</row>
    <row r="41" spans="1:42" s="283" customFormat="1" ht="24.75" customHeight="1">
      <c r="A41" s="280" t="s">
        <v>30</v>
      </c>
      <c r="B41" s="281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</row>
    <row r="42" spans="1:42" s="284" customFormat="1" ht="24.75" customHeight="1">
      <c r="A42" s="280" t="s">
        <v>31</v>
      </c>
      <c r="B42" s="266">
        <v>15338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</row>
    <row r="43" spans="1:42" s="264" customFormat="1" ht="24.75" customHeight="1">
      <c r="A43" s="285" t="s">
        <v>32</v>
      </c>
      <c r="B43" s="274">
        <v>4199106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</row>
    <row r="44" spans="1:99" s="264" customFormat="1" ht="24">
      <c r="A44" s="285" t="s">
        <v>116</v>
      </c>
      <c r="B44" s="274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</row>
    <row r="45" spans="1:42" s="264" customFormat="1" ht="24.75" customHeight="1">
      <c r="A45" s="285" t="s">
        <v>117</v>
      </c>
      <c r="B45" s="274">
        <v>684350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</row>
    <row r="46" spans="1:42" s="264" customFormat="1" ht="24.75" customHeight="1">
      <c r="A46" s="285" t="s">
        <v>118</v>
      </c>
      <c r="B46" s="274">
        <v>5971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</row>
    <row r="47" spans="1:42" s="264" customFormat="1" ht="24.75" customHeight="1">
      <c r="A47" s="285" t="s">
        <v>119</v>
      </c>
      <c r="B47" s="274">
        <v>1107355</v>
      </c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</row>
    <row r="48" spans="1:42" s="264" customFormat="1" ht="24.75" customHeight="1">
      <c r="A48" s="285" t="s">
        <v>120</v>
      </c>
      <c r="B48" s="274">
        <v>431495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</row>
    <row r="49" spans="1:42" s="264" customFormat="1" ht="24.75" customHeight="1">
      <c r="A49" s="285" t="s">
        <v>121</v>
      </c>
      <c r="B49" s="274">
        <v>4394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</row>
    <row r="50" spans="1:42" s="264" customFormat="1" ht="24.75" customHeight="1">
      <c r="A50" s="285" t="s">
        <v>122</v>
      </c>
      <c r="B50" s="266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</row>
    <row r="51" spans="1:42" s="264" customFormat="1" ht="24.75" customHeight="1">
      <c r="A51" s="285" t="s">
        <v>123</v>
      </c>
      <c r="B51" s="266">
        <v>2079016.82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</row>
    <row r="52" spans="1:42" s="264" customFormat="1" ht="24.75" customHeight="1">
      <c r="A52" s="285" t="s">
        <v>124</v>
      </c>
      <c r="B52" s="266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</row>
    <row r="53" spans="1:42" s="264" customFormat="1" ht="24.75" customHeight="1">
      <c r="A53" s="261" t="s">
        <v>125</v>
      </c>
      <c r="B53" s="287">
        <f>SUM(B54:B73)</f>
        <v>2231346.95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</row>
    <row r="54" spans="1:42" ht="24.75" customHeight="1">
      <c r="A54" s="288" t="s">
        <v>126</v>
      </c>
      <c r="B54" s="266">
        <v>60236.95</v>
      </c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</row>
    <row r="55" spans="1:42" ht="24.75" customHeight="1">
      <c r="A55" s="289" t="s">
        <v>183</v>
      </c>
      <c r="B55" s="266">
        <v>106073</v>
      </c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</row>
    <row r="56" spans="1:42" ht="24.75" customHeight="1">
      <c r="A56" s="289" t="s">
        <v>127</v>
      </c>
      <c r="B56" s="266">
        <v>359967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</row>
    <row r="57" spans="1:42" ht="24.75" customHeight="1">
      <c r="A57" s="280" t="s">
        <v>128</v>
      </c>
      <c r="B57" s="26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</row>
    <row r="58" spans="1:42" ht="24.75" customHeight="1">
      <c r="A58" s="289" t="s">
        <v>129</v>
      </c>
      <c r="B58" s="26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</row>
    <row r="59" spans="1:42" ht="24.75" customHeight="1">
      <c r="A59" s="289" t="s">
        <v>130</v>
      </c>
      <c r="B59" s="26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</row>
    <row r="60" spans="1:42" ht="24.75" customHeight="1">
      <c r="A60" s="289" t="s">
        <v>131</v>
      </c>
      <c r="B60" s="26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</row>
    <row r="61" spans="1:42" ht="24.75" customHeight="1">
      <c r="A61" s="289" t="s">
        <v>132</v>
      </c>
      <c r="B61" s="266">
        <v>249400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</row>
    <row r="62" spans="1:42" ht="24.75" customHeight="1">
      <c r="A62" s="290" t="s">
        <v>133</v>
      </c>
      <c r="B62" s="266">
        <v>1190240</v>
      </c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</row>
    <row r="63" spans="1:42" ht="24.75" customHeight="1">
      <c r="A63" s="289" t="s">
        <v>134</v>
      </c>
      <c r="B63" s="26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</row>
    <row r="64" spans="1:42" ht="24.75" customHeight="1">
      <c r="A64" s="289" t="s">
        <v>135</v>
      </c>
      <c r="B64" s="26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42" ht="24.75" customHeight="1">
      <c r="A65" s="289" t="s">
        <v>136</v>
      </c>
      <c r="B65" s="266">
        <v>4200</v>
      </c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</row>
    <row r="66" spans="1:42" ht="24.75" customHeight="1">
      <c r="A66" s="289" t="s">
        <v>137</v>
      </c>
      <c r="B66" s="266">
        <v>244630</v>
      </c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</row>
    <row r="67" spans="1:42" ht="24.75" customHeight="1">
      <c r="A67" s="289" t="s">
        <v>138</v>
      </c>
      <c r="B67" s="26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</row>
    <row r="68" spans="1:42" ht="24.75" customHeight="1">
      <c r="A68" s="289" t="s">
        <v>139</v>
      </c>
      <c r="B68" s="26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</row>
    <row r="69" spans="1:42" ht="24.75" customHeight="1">
      <c r="A69" s="289" t="s">
        <v>140</v>
      </c>
      <c r="B69" s="266">
        <v>16000</v>
      </c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</row>
    <row r="70" spans="1:42" ht="24.75" customHeight="1">
      <c r="A70" s="289" t="s">
        <v>141</v>
      </c>
      <c r="B70" s="26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</row>
    <row r="71" spans="1:42" ht="24.75" customHeight="1">
      <c r="A71" s="289" t="s">
        <v>143</v>
      </c>
      <c r="B71" s="26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</row>
    <row r="72" spans="1:42" ht="24.75" customHeight="1">
      <c r="A72" s="289" t="s">
        <v>142</v>
      </c>
      <c r="B72" s="266">
        <v>600</v>
      </c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</row>
    <row r="73" spans="1:42" ht="24.75" customHeight="1">
      <c r="A73" s="291" t="s">
        <v>144</v>
      </c>
      <c r="B73" s="292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</row>
    <row r="74" spans="1:42" s="264" customFormat="1" ht="24.75" customHeight="1" thickBot="1">
      <c r="A74" s="293" t="s">
        <v>33</v>
      </c>
      <c r="B74" s="294">
        <f>B4+B43+B44+B45+B46+B47+B48+B49+B50+B51+B52+B53</f>
        <v>66898412.37</v>
      </c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</row>
    <row r="75" spans="1:42" s="264" customFormat="1" ht="24.75" customHeight="1" thickTop="1">
      <c r="A75" s="295" t="s">
        <v>34</v>
      </c>
      <c r="B75" s="29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</row>
    <row r="76" spans="1:42" ht="24.75" customHeight="1">
      <c r="A76" s="297" t="s">
        <v>35</v>
      </c>
      <c r="B76" s="298">
        <f>SUM(B77:B79)</f>
        <v>10877904</v>
      </c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</row>
    <row r="77" spans="1:42" ht="24.75" customHeight="1">
      <c r="A77" s="299" t="s">
        <v>36</v>
      </c>
      <c r="B77" s="300">
        <v>9282264</v>
      </c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</row>
    <row r="78" spans="1:42" ht="24.75" customHeight="1">
      <c r="A78" s="299" t="s">
        <v>37</v>
      </c>
      <c r="B78" s="300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</row>
    <row r="79" spans="1:42" ht="24.75" customHeight="1">
      <c r="A79" s="299" t="s">
        <v>38</v>
      </c>
      <c r="B79" s="300">
        <v>1595640</v>
      </c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</row>
    <row r="80" spans="1:42" ht="24.75" customHeight="1">
      <c r="A80" s="261" t="s">
        <v>39</v>
      </c>
      <c r="B80" s="301">
        <f>SUM(B81:B94)</f>
        <v>16807510</v>
      </c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</row>
    <row r="81" spans="1:42" ht="24.75" customHeight="1">
      <c r="A81" s="280" t="s">
        <v>40</v>
      </c>
      <c r="B81" s="266">
        <v>480000</v>
      </c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</row>
    <row r="82" spans="1:42" ht="24.75" customHeight="1">
      <c r="A82" s="280" t="s">
        <v>41</v>
      </c>
      <c r="B82" s="266">
        <v>400000</v>
      </c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</row>
    <row r="83" spans="1:42" ht="24.75" customHeight="1">
      <c r="A83" s="280" t="s">
        <v>42</v>
      </c>
      <c r="B83" s="266">
        <v>240000</v>
      </c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</row>
    <row r="84" spans="1:42" ht="24.75" customHeight="1">
      <c r="A84" s="280" t="s">
        <v>184</v>
      </c>
      <c r="B84" s="266">
        <v>2718000</v>
      </c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</row>
    <row r="85" spans="1:42" ht="24.75" customHeight="1">
      <c r="A85" s="280" t="s">
        <v>177</v>
      </c>
      <c r="B85" s="266">
        <v>1190240</v>
      </c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</row>
    <row r="86" spans="1:42" ht="24.75" customHeight="1">
      <c r="A86" s="280" t="s">
        <v>145</v>
      </c>
      <c r="B86" s="266">
        <v>733750</v>
      </c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</row>
    <row r="87" spans="1:42" ht="24.75" customHeight="1">
      <c r="A87" s="280" t="s">
        <v>146</v>
      </c>
      <c r="B87" s="266">
        <v>9000000</v>
      </c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</row>
    <row r="88" spans="1:42" ht="24.75" customHeight="1">
      <c r="A88" s="280" t="s">
        <v>147</v>
      </c>
      <c r="B88" s="266">
        <v>1622460</v>
      </c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</row>
    <row r="89" spans="1:42" ht="24.75" customHeight="1">
      <c r="A89" s="280" t="s">
        <v>148</v>
      </c>
      <c r="B89" s="26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</row>
    <row r="90" spans="1:42" ht="24.75" customHeight="1">
      <c r="A90" s="280" t="s">
        <v>149</v>
      </c>
      <c r="B90" s="26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</row>
    <row r="91" spans="1:42" ht="24.75" customHeight="1">
      <c r="A91" s="280" t="s">
        <v>193</v>
      </c>
      <c r="B91" s="266">
        <v>60000</v>
      </c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</row>
    <row r="92" spans="1:42" ht="24.75" customHeight="1">
      <c r="A92" s="280" t="s">
        <v>194</v>
      </c>
      <c r="B92" s="266">
        <v>363060</v>
      </c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</row>
    <row r="93" spans="1:42" ht="24.75" customHeight="1">
      <c r="A93" s="280" t="s">
        <v>195</v>
      </c>
      <c r="B93" s="268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</row>
    <row r="94" spans="1:42" ht="24.75" customHeight="1">
      <c r="A94" s="280" t="s">
        <v>196</v>
      </c>
      <c r="B94" s="26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</row>
    <row r="95" spans="1:42" ht="24.75" customHeight="1">
      <c r="A95" s="285" t="s">
        <v>43</v>
      </c>
      <c r="B95" s="268">
        <v>543896</v>
      </c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</row>
    <row r="96" spans="1:42" ht="24.75" customHeight="1">
      <c r="A96" s="261" t="s">
        <v>44</v>
      </c>
      <c r="B96" s="271">
        <f>SUM(B97:B101)</f>
        <v>277559</v>
      </c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</row>
    <row r="97" spans="1:42" ht="24.75" customHeight="1">
      <c r="A97" s="280" t="s">
        <v>45</v>
      </c>
      <c r="B97" s="266">
        <v>60000</v>
      </c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</row>
    <row r="98" spans="1:42" ht="24.75" customHeight="1">
      <c r="A98" s="280" t="s">
        <v>277</v>
      </c>
      <c r="B98" s="266">
        <v>217559</v>
      </c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</row>
    <row r="99" spans="1:42" ht="24.75" customHeight="1">
      <c r="A99" s="280" t="s">
        <v>46</v>
      </c>
      <c r="B99" s="26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</row>
    <row r="100" spans="1:42" ht="24.75" customHeight="1">
      <c r="A100" s="280" t="s">
        <v>47</v>
      </c>
      <c r="B100" s="26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</row>
    <row r="101" spans="1:42" ht="24.75" customHeight="1">
      <c r="A101" s="302" t="s">
        <v>48</v>
      </c>
      <c r="B101" s="266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</row>
    <row r="102" spans="1:42" ht="24.75" customHeight="1">
      <c r="A102" s="303" t="s">
        <v>49</v>
      </c>
      <c r="B102" s="304">
        <f>B76+B80+B95+B96</f>
        <v>28506869</v>
      </c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</row>
    <row r="103" spans="1:42" s="264" customFormat="1" ht="24.75" customHeight="1">
      <c r="A103" s="305" t="s">
        <v>50</v>
      </c>
      <c r="B103" s="306">
        <f>B104+B105+B106+B109+B110+B111+B112+B113+B114+B115+B116+B117+B118+B119+B120+B121+B122+B123</f>
        <v>5118309</v>
      </c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</row>
    <row r="104" spans="1:42" s="264" customFormat="1" ht="24.75" customHeight="1">
      <c r="A104" s="280" t="s">
        <v>51</v>
      </c>
      <c r="B104" s="266">
        <v>18730</v>
      </c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</row>
    <row r="105" spans="1:42" ht="24.75" customHeight="1">
      <c r="A105" s="280" t="s">
        <v>52</v>
      </c>
      <c r="B105" s="266">
        <v>400000</v>
      </c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</row>
    <row r="106" spans="1:42" ht="24.75" customHeight="1">
      <c r="A106" s="307" t="s">
        <v>53</v>
      </c>
      <c r="B106" s="271">
        <f>SUM(B107:B108)</f>
        <v>1253870</v>
      </c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</row>
    <row r="107" spans="1:42" ht="24.75" customHeight="1">
      <c r="A107" s="280" t="s">
        <v>54</v>
      </c>
      <c r="B107" s="266">
        <v>103870</v>
      </c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</row>
    <row r="108" spans="1:42" ht="24.75" customHeight="1">
      <c r="A108" s="280" t="s">
        <v>55</v>
      </c>
      <c r="B108" s="266">
        <v>1150000</v>
      </c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</row>
    <row r="109" spans="1:42" ht="24.75" customHeight="1">
      <c r="A109" s="280" t="s">
        <v>56</v>
      </c>
      <c r="B109" s="266">
        <v>265000</v>
      </c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</row>
    <row r="110" spans="1:42" ht="24.75" customHeight="1">
      <c r="A110" s="280" t="s">
        <v>57</v>
      </c>
      <c r="B110" s="266">
        <v>303800</v>
      </c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</row>
    <row r="111" spans="1:42" ht="24.75" customHeight="1">
      <c r="A111" s="280" t="s">
        <v>58</v>
      </c>
      <c r="B111" s="266">
        <v>140000</v>
      </c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</row>
    <row r="112" spans="1:42" ht="24.75" customHeight="1">
      <c r="A112" s="280" t="s">
        <v>59</v>
      </c>
      <c r="B112" s="266">
        <v>160000</v>
      </c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</row>
    <row r="113" spans="1:42" ht="24.75" customHeight="1">
      <c r="A113" s="280" t="s">
        <v>60</v>
      </c>
      <c r="B113" s="266">
        <v>970200</v>
      </c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</row>
    <row r="114" spans="1:42" ht="24.75" customHeight="1">
      <c r="A114" s="280" t="s">
        <v>61</v>
      </c>
      <c r="B114" s="26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</row>
    <row r="115" spans="1:42" ht="24.75" customHeight="1">
      <c r="A115" s="280" t="s">
        <v>62</v>
      </c>
      <c r="B115" s="266">
        <v>80000</v>
      </c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</row>
    <row r="116" spans="1:42" ht="24.75" customHeight="1">
      <c r="A116" s="280" t="s">
        <v>63</v>
      </c>
      <c r="B116" s="26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</row>
    <row r="117" spans="1:42" ht="24.75" customHeight="1">
      <c r="A117" s="280" t="s">
        <v>64</v>
      </c>
      <c r="B117" s="26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</row>
    <row r="118" spans="1:42" ht="24.75" customHeight="1">
      <c r="A118" s="280" t="s">
        <v>65</v>
      </c>
      <c r="B118" s="266">
        <v>142058</v>
      </c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</row>
    <row r="119" spans="1:42" ht="24.75" customHeight="1">
      <c r="A119" s="280" t="s">
        <v>66</v>
      </c>
      <c r="B119" s="266">
        <v>600000</v>
      </c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</row>
    <row r="120" spans="1:42" ht="24.75" customHeight="1">
      <c r="A120" s="280" t="s">
        <v>67</v>
      </c>
      <c r="B120" s="266">
        <v>464555</v>
      </c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276"/>
      <c r="AJ120" s="276"/>
      <c r="AK120" s="276"/>
      <c r="AL120" s="276"/>
      <c r="AM120" s="276"/>
      <c r="AN120" s="276"/>
      <c r="AO120" s="276"/>
      <c r="AP120" s="276"/>
    </row>
    <row r="121" spans="1:42" ht="24.75" customHeight="1">
      <c r="A121" s="280" t="s">
        <v>68</v>
      </c>
      <c r="B121" s="266">
        <v>320000</v>
      </c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I121" s="276"/>
      <c r="AJ121" s="276"/>
      <c r="AK121" s="276"/>
      <c r="AL121" s="276"/>
      <c r="AM121" s="276"/>
      <c r="AN121" s="276"/>
      <c r="AO121" s="276"/>
      <c r="AP121" s="276"/>
    </row>
    <row r="122" spans="1:42" ht="24.75" customHeight="1">
      <c r="A122" s="280" t="s">
        <v>69</v>
      </c>
      <c r="B122" s="266">
        <v>96</v>
      </c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276"/>
      <c r="AP122" s="276"/>
    </row>
    <row r="123" spans="1:42" ht="24.75" customHeight="1">
      <c r="A123" s="280" t="s">
        <v>70</v>
      </c>
      <c r="B123" s="266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</row>
    <row r="124" spans="1:42" ht="24.75" customHeight="1">
      <c r="A124" s="261" t="s">
        <v>71</v>
      </c>
      <c r="B124" s="306">
        <f>SUM(B125:B129)</f>
        <v>2806613.33</v>
      </c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</row>
    <row r="125" spans="1:42" s="264" customFormat="1" ht="24.75" customHeight="1">
      <c r="A125" s="280" t="s">
        <v>72</v>
      </c>
      <c r="B125" s="266">
        <v>2561813.97</v>
      </c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</row>
    <row r="126" spans="1:42" ht="24.75" customHeight="1">
      <c r="A126" s="280" t="s">
        <v>73</v>
      </c>
      <c r="B126" s="26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</row>
    <row r="127" spans="1:42" ht="24.75" customHeight="1">
      <c r="A127" s="280" t="s">
        <v>74</v>
      </c>
      <c r="B127" s="266">
        <v>78622.36</v>
      </c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</row>
    <row r="128" spans="1:42" ht="24.75" customHeight="1">
      <c r="A128" s="280" t="s">
        <v>75</v>
      </c>
      <c r="B128" s="266">
        <v>152269</v>
      </c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6"/>
      <c r="AO128" s="276"/>
      <c r="AP128" s="276"/>
    </row>
    <row r="129" spans="1:42" ht="24.75" customHeight="1">
      <c r="A129" s="280" t="s">
        <v>76</v>
      </c>
      <c r="B129" s="266">
        <v>13908</v>
      </c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  <c r="AJ129" s="276"/>
      <c r="AK129" s="276"/>
      <c r="AL129" s="276"/>
      <c r="AM129" s="276"/>
      <c r="AN129" s="276"/>
      <c r="AO129" s="276"/>
      <c r="AP129" s="276"/>
    </row>
    <row r="130" spans="1:42" ht="24.75" customHeight="1">
      <c r="A130" s="261" t="s">
        <v>77</v>
      </c>
      <c r="B130" s="306">
        <f>B131+B132+B133+B134+B135+B136+B137+B138+B149</f>
        <v>20738064</v>
      </c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</row>
    <row r="131" spans="1:42" s="264" customFormat="1" ht="24.75" customHeight="1">
      <c r="A131" s="280" t="s">
        <v>78</v>
      </c>
      <c r="B131" s="266">
        <v>9000000</v>
      </c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</row>
    <row r="132" spans="1:42" ht="24.75" customHeight="1">
      <c r="A132" s="280" t="s">
        <v>79</v>
      </c>
      <c r="B132" s="26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</row>
    <row r="133" spans="1:42" ht="24.75" customHeight="1">
      <c r="A133" s="280" t="s">
        <v>80</v>
      </c>
      <c r="B133" s="266">
        <v>2590000</v>
      </c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  <c r="AO133" s="276"/>
      <c r="AP133" s="276"/>
    </row>
    <row r="134" spans="1:42" ht="24.75" customHeight="1">
      <c r="A134" s="280" t="s">
        <v>81</v>
      </c>
      <c r="B134" s="266">
        <v>3739942</v>
      </c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  <c r="AO134" s="276"/>
      <c r="AP134" s="276"/>
    </row>
    <row r="135" spans="1:42" ht="24.75" customHeight="1">
      <c r="A135" s="280" t="s">
        <v>82</v>
      </c>
      <c r="B135" s="266">
        <v>400000</v>
      </c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  <c r="AJ135" s="276"/>
      <c r="AK135" s="276"/>
      <c r="AL135" s="276"/>
      <c r="AM135" s="276"/>
      <c r="AN135" s="276"/>
      <c r="AO135" s="276"/>
      <c r="AP135" s="276"/>
    </row>
    <row r="136" spans="1:42" s="283" customFormat="1" ht="24.75" customHeight="1">
      <c r="A136" s="280" t="s">
        <v>83</v>
      </c>
      <c r="B136" s="266">
        <v>350000</v>
      </c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</row>
    <row r="137" spans="1:42" s="308" customFormat="1" ht="24.75" customHeight="1">
      <c r="A137" s="280" t="s">
        <v>84</v>
      </c>
      <c r="B137" s="266">
        <v>666345</v>
      </c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6"/>
      <c r="AK137" s="276"/>
      <c r="AL137" s="276"/>
      <c r="AM137" s="276"/>
      <c r="AN137" s="276"/>
      <c r="AO137" s="276"/>
      <c r="AP137" s="276"/>
    </row>
    <row r="138" spans="1:42" s="308" customFormat="1" ht="24.75" customHeight="1">
      <c r="A138" s="307" t="s">
        <v>85</v>
      </c>
      <c r="B138" s="271">
        <f>SUM(B139:B148)</f>
        <v>3725729</v>
      </c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276"/>
      <c r="AL138" s="276"/>
      <c r="AM138" s="276"/>
      <c r="AN138" s="276"/>
      <c r="AO138" s="276"/>
      <c r="AP138" s="276"/>
    </row>
    <row r="139" spans="1:118" ht="23.25" customHeight="1">
      <c r="A139" s="280" t="s">
        <v>150</v>
      </c>
      <c r="B139" s="266">
        <v>600000</v>
      </c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3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263"/>
      <c r="BR139" s="263"/>
      <c r="BS139" s="263"/>
      <c r="BT139" s="263"/>
      <c r="BU139" s="263"/>
      <c r="BV139" s="263"/>
      <c r="BW139" s="263"/>
      <c r="BX139" s="263"/>
      <c r="BY139" s="263"/>
      <c r="BZ139" s="263"/>
      <c r="CA139" s="263"/>
      <c r="CB139" s="263"/>
      <c r="CC139" s="263"/>
      <c r="CD139" s="263"/>
      <c r="CE139" s="263"/>
      <c r="CF139" s="263"/>
      <c r="CG139" s="263"/>
      <c r="CH139" s="263"/>
      <c r="CI139" s="263"/>
      <c r="CJ139" s="263"/>
      <c r="CK139" s="263"/>
      <c r="CL139" s="263"/>
      <c r="CM139" s="263"/>
      <c r="CN139" s="263"/>
      <c r="CO139" s="263"/>
      <c r="CP139" s="263"/>
      <c r="CQ139" s="263"/>
      <c r="CR139" s="263"/>
      <c r="CS139" s="263"/>
      <c r="CT139" s="263"/>
      <c r="CU139" s="263"/>
      <c r="CV139" s="263"/>
      <c r="CW139" s="263"/>
      <c r="CX139" s="263"/>
      <c r="CY139" s="263"/>
      <c r="CZ139" s="263"/>
      <c r="DA139" s="263"/>
      <c r="DB139" s="263"/>
      <c r="DC139" s="263"/>
      <c r="DD139" s="263"/>
      <c r="DE139" s="263"/>
      <c r="DF139" s="263"/>
      <c r="DG139" s="263"/>
      <c r="DH139" s="263"/>
      <c r="DI139" s="263"/>
      <c r="DJ139" s="263"/>
      <c r="DK139" s="263"/>
      <c r="DL139" s="263"/>
      <c r="DM139" s="263"/>
      <c r="DN139" s="263"/>
    </row>
    <row r="140" spans="1:118" ht="23.25" customHeight="1">
      <c r="A140" s="280" t="s">
        <v>200</v>
      </c>
      <c r="B140" s="266">
        <v>6000</v>
      </c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G140" s="263"/>
      <c r="AH140" s="263"/>
      <c r="AI140" s="263"/>
      <c r="AJ140" s="263"/>
      <c r="AK140" s="263"/>
      <c r="AL140" s="263"/>
      <c r="AM140" s="263"/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63"/>
      <c r="BV140" s="263"/>
      <c r="BW140" s="263"/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263"/>
      <c r="CO140" s="263"/>
      <c r="CP140" s="263"/>
      <c r="CQ140" s="263"/>
      <c r="CR140" s="263"/>
      <c r="CS140" s="263"/>
      <c r="CT140" s="263"/>
      <c r="CU140" s="263"/>
      <c r="CV140" s="263"/>
      <c r="CW140" s="263"/>
      <c r="CX140" s="263"/>
      <c r="CY140" s="263"/>
      <c r="CZ140" s="263"/>
      <c r="DA140" s="263"/>
      <c r="DB140" s="263"/>
      <c r="DC140" s="263"/>
      <c r="DD140" s="263"/>
      <c r="DE140" s="263"/>
      <c r="DF140" s="263"/>
      <c r="DG140" s="263"/>
      <c r="DH140" s="263"/>
      <c r="DI140" s="263"/>
      <c r="DJ140" s="263"/>
      <c r="DK140" s="263"/>
      <c r="DL140" s="263"/>
      <c r="DM140" s="263"/>
      <c r="DN140" s="263"/>
    </row>
    <row r="141" spans="1:118" ht="23.25" customHeight="1">
      <c r="A141" s="280" t="s">
        <v>201</v>
      </c>
      <c r="B141" s="266">
        <v>120180</v>
      </c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263"/>
      <c r="BR141" s="263"/>
      <c r="BS141" s="263"/>
      <c r="BT141" s="263"/>
      <c r="BU141" s="263"/>
      <c r="BV141" s="263"/>
      <c r="BW141" s="263"/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63"/>
      <c r="CJ141" s="263"/>
      <c r="CK141" s="263"/>
      <c r="CL141" s="263"/>
      <c r="CM141" s="263"/>
      <c r="CN141" s="263"/>
      <c r="CO141" s="263"/>
      <c r="CP141" s="263"/>
      <c r="CQ141" s="263"/>
      <c r="CR141" s="263"/>
      <c r="CS141" s="263"/>
      <c r="CT141" s="263"/>
      <c r="CU141" s="263"/>
      <c r="CV141" s="263"/>
      <c r="CW141" s="263"/>
      <c r="CX141" s="263"/>
      <c r="CY141" s="263"/>
      <c r="CZ141" s="263"/>
      <c r="DA141" s="263"/>
      <c r="DB141" s="263"/>
      <c r="DC141" s="263"/>
      <c r="DD141" s="263"/>
      <c r="DE141" s="263"/>
      <c r="DF141" s="263"/>
      <c r="DG141" s="263"/>
      <c r="DH141" s="263"/>
      <c r="DI141" s="263"/>
      <c r="DJ141" s="263"/>
      <c r="DK141" s="263"/>
      <c r="DL141" s="263"/>
      <c r="DM141" s="263"/>
      <c r="DN141" s="263"/>
    </row>
    <row r="142" spans="1:118" ht="23.25" customHeight="1">
      <c r="A142" s="280" t="s">
        <v>202</v>
      </c>
      <c r="B142" s="266">
        <v>62635</v>
      </c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  <c r="AJ142" s="263"/>
      <c r="AK142" s="263"/>
      <c r="AL142" s="263"/>
      <c r="AM142" s="263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263"/>
      <c r="BR142" s="263"/>
      <c r="BS142" s="263"/>
      <c r="BT142" s="263"/>
      <c r="BU142" s="263"/>
      <c r="BV142" s="263"/>
      <c r="BW142" s="263"/>
      <c r="BX142" s="263"/>
      <c r="BY142" s="263"/>
      <c r="BZ142" s="263"/>
      <c r="CA142" s="263"/>
      <c r="CB142" s="263"/>
      <c r="CC142" s="263"/>
      <c r="CD142" s="263"/>
      <c r="CE142" s="263"/>
      <c r="CF142" s="263"/>
      <c r="CG142" s="263"/>
      <c r="CH142" s="263"/>
      <c r="CI142" s="263"/>
      <c r="CJ142" s="263"/>
      <c r="CK142" s="263"/>
      <c r="CL142" s="263"/>
      <c r="CM142" s="263"/>
      <c r="CN142" s="263"/>
      <c r="CO142" s="263"/>
      <c r="CP142" s="263"/>
      <c r="CQ142" s="263"/>
      <c r="CR142" s="263"/>
      <c r="CS142" s="263"/>
      <c r="CT142" s="263"/>
      <c r="CU142" s="263"/>
      <c r="CV142" s="263"/>
      <c r="CW142" s="263"/>
      <c r="CX142" s="263"/>
      <c r="CY142" s="263"/>
      <c r="CZ142" s="263"/>
      <c r="DA142" s="263"/>
      <c r="DB142" s="263"/>
      <c r="DC142" s="263"/>
      <c r="DD142" s="263"/>
      <c r="DE142" s="263"/>
      <c r="DF142" s="263"/>
      <c r="DG142" s="263"/>
      <c r="DH142" s="263"/>
      <c r="DI142" s="263"/>
      <c r="DJ142" s="263"/>
      <c r="DK142" s="263"/>
      <c r="DL142" s="263"/>
      <c r="DM142" s="263"/>
      <c r="DN142" s="263"/>
    </row>
    <row r="143" spans="1:118" ht="23.25" customHeight="1">
      <c r="A143" s="280" t="s">
        <v>203</v>
      </c>
      <c r="B143" s="266">
        <v>300000</v>
      </c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263"/>
      <c r="AJ143" s="263"/>
      <c r="AK143" s="263"/>
      <c r="AL143" s="263"/>
      <c r="AM143" s="263"/>
      <c r="AN143" s="263"/>
      <c r="AO143" s="263"/>
      <c r="AP143" s="263"/>
      <c r="AQ143" s="263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263"/>
      <c r="BR143" s="263"/>
      <c r="BS143" s="263"/>
      <c r="BT143" s="263"/>
      <c r="BU143" s="263"/>
      <c r="BV143" s="263"/>
      <c r="BW143" s="263"/>
      <c r="BX143" s="263"/>
      <c r="BY143" s="263"/>
      <c r="BZ143" s="263"/>
      <c r="CA143" s="263"/>
      <c r="CB143" s="263"/>
      <c r="CC143" s="263"/>
      <c r="CD143" s="263"/>
      <c r="CE143" s="263"/>
      <c r="CF143" s="263"/>
      <c r="CG143" s="263"/>
      <c r="CH143" s="263"/>
      <c r="CI143" s="263"/>
      <c r="CJ143" s="263"/>
      <c r="CK143" s="263"/>
      <c r="CL143" s="263"/>
      <c r="CM143" s="263"/>
      <c r="CN143" s="263"/>
      <c r="CO143" s="263"/>
      <c r="CP143" s="263"/>
      <c r="CQ143" s="263"/>
      <c r="CR143" s="263"/>
      <c r="CS143" s="263"/>
      <c r="CT143" s="263"/>
      <c r="CU143" s="263"/>
      <c r="CV143" s="263"/>
      <c r="CW143" s="263"/>
      <c r="CX143" s="263"/>
      <c r="CY143" s="263"/>
      <c r="CZ143" s="263"/>
      <c r="DA143" s="263"/>
      <c r="DB143" s="263"/>
      <c r="DC143" s="263"/>
      <c r="DD143" s="263"/>
      <c r="DE143" s="263"/>
      <c r="DF143" s="263"/>
      <c r="DG143" s="263"/>
      <c r="DH143" s="263"/>
      <c r="DI143" s="263"/>
      <c r="DJ143" s="263"/>
      <c r="DK143" s="263"/>
      <c r="DL143" s="263"/>
      <c r="DM143" s="263"/>
      <c r="DN143" s="263"/>
    </row>
    <row r="144" spans="1:118" ht="23.25" customHeight="1">
      <c r="A144" s="280" t="s">
        <v>204</v>
      </c>
      <c r="B144" s="266">
        <v>700000</v>
      </c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3"/>
      <c r="AG144" s="263"/>
      <c r="AH144" s="263"/>
      <c r="AI144" s="263"/>
      <c r="AJ144" s="263"/>
      <c r="AK144" s="263"/>
      <c r="AL144" s="263"/>
      <c r="AM144" s="263"/>
      <c r="AN144" s="263"/>
      <c r="AO144" s="263"/>
      <c r="AP144" s="263"/>
      <c r="AQ144" s="263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3"/>
      <c r="BW144" s="263"/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263"/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3"/>
      <c r="DG144" s="263"/>
      <c r="DH144" s="263"/>
      <c r="DI144" s="263"/>
      <c r="DJ144" s="263"/>
      <c r="DK144" s="263"/>
      <c r="DL144" s="263"/>
      <c r="DM144" s="263"/>
      <c r="DN144" s="263"/>
    </row>
    <row r="145" spans="1:118" ht="23.25" customHeight="1">
      <c r="A145" s="280" t="s">
        <v>205</v>
      </c>
      <c r="B145" s="266">
        <v>1171706</v>
      </c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3"/>
      <c r="AG145" s="263"/>
      <c r="AH145" s="263"/>
      <c r="AI145" s="263"/>
      <c r="AJ145" s="263"/>
      <c r="AK145" s="263"/>
      <c r="AL145" s="263"/>
      <c r="AM145" s="263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63"/>
      <c r="BV145" s="263"/>
      <c r="BW145" s="263"/>
      <c r="BX145" s="263"/>
      <c r="BY145" s="263"/>
      <c r="BZ145" s="263"/>
      <c r="CA145" s="263"/>
      <c r="CB145" s="263"/>
      <c r="CC145" s="263"/>
      <c r="CD145" s="263"/>
      <c r="CE145" s="263"/>
      <c r="CF145" s="263"/>
      <c r="CG145" s="263"/>
      <c r="CH145" s="263"/>
      <c r="CI145" s="263"/>
      <c r="CJ145" s="263"/>
      <c r="CK145" s="263"/>
      <c r="CL145" s="263"/>
      <c r="CM145" s="263"/>
      <c r="CN145" s="263"/>
      <c r="CO145" s="263"/>
      <c r="CP145" s="263"/>
      <c r="CQ145" s="263"/>
      <c r="CR145" s="263"/>
      <c r="CS145" s="263"/>
      <c r="CT145" s="263"/>
      <c r="CU145" s="263"/>
      <c r="CV145" s="263"/>
      <c r="CW145" s="263"/>
      <c r="CX145" s="263"/>
      <c r="CY145" s="263"/>
      <c r="CZ145" s="263"/>
      <c r="DA145" s="263"/>
      <c r="DB145" s="263"/>
      <c r="DC145" s="263"/>
      <c r="DD145" s="263"/>
      <c r="DE145" s="263"/>
      <c r="DF145" s="263"/>
      <c r="DG145" s="263"/>
      <c r="DH145" s="263"/>
      <c r="DI145" s="263"/>
      <c r="DJ145" s="263"/>
      <c r="DK145" s="263"/>
      <c r="DL145" s="263"/>
      <c r="DM145" s="263"/>
      <c r="DN145" s="263"/>
    </row>
    <row r="146" spans="1:118" ht="23.25" customHeight="1">
      <c r="A146" s="280" t="s">
        <v>206</v>
      </c>
      <c r="B146" s="266">
        <v>300000</v>
      </c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3"/>
      <c r="AG146" s="263"/>
      <c r="AH146" s="263"/>
      <c r="AI146" s="263"/>
      <c r="AJ146" s="263"/>
      <c r="AK146" s="263"/>
      <c r="AL146" s="263"/>
      <c r="AM146" s="263"/>
      <c r="AN146" s="263"/>
      <c r="AO146" s="263"/>
      <c r="AP146" s="263"/>
      <c r="AQ146" s="263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  <c r="BE146" s="263"/>
      <c r="BF146" s="263"/>
      <c r="BG146" s="263"/>
      <c r="BH146" s="263"/>
      <c r="BI146" s="263"/>
      <c r="BJ146" s="263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263"/>
      <c r="BU146" s="263"/>
      <c r="BV146" s="263"/>
      <c r="BW146" s="263"/>
      <c r="BX146" s="263"/>
      <c r="BY146" s="263"/>
      <c r="BZ146" s="263"/>
      <c r="CA146" s="263"/>
      <c r="CB146" s="263"/>
      <c r="CC146" s="263"/>
      <c r="CD146" s="263"/>
      <c r="CE146" s="263"/>
      <c r="CF146" s="263"/>
      <c r="CG146" s="263"/>
      <c r="CH146" s="263"/>
      <c r="CI146" s="263"/>
      <c r="CJ146" s="263"/>
      <c r="CK146" s="263"/>
      <c r="CL146" s="263"/>
      <c r="CM146" s="263"/>
      <c r="CN146" s="263"/>
      <c r="CO146" s="263"/>
      <c r="CP146" s="263"/>
      <c r="CQ146" s="263"/>
      <c r="CR146" s="263"/>
      <c r="CS146" s="263"/>
      <c r="CT146" s="263"/>
      <c r="CU146" s="263"/>
      <c r="CV146" s="263"/>
      <c r="CW146" s="263"/>
      <c r="CX146" s="263"/>
      <c r="CY146" s="263"/>
      <c r="CZ146" s="263"/>
      <c r="DA146" s="263"/>
      <c r="DB146" s="263"/>
      <c r="DC146" s="263"/>
      <c r="DD146" s="263"/>
      <c r="DE146" s="263"/>
      <c r="DF146" s="263"/>
      <c r="DG146" s="263"/>
      <c r="DH146" s="263"/>
      <c r="DI146" s="263"/>
      <c r="DJ146" s="263"/>
      <c r="DK146" s="263"/>
      <c r="DL146" s="263"/>
      <c r="DM146" s="263"/>
      <c r="DN146" s="263"/>
    </row>
    <row r="147" spans="1:118" ht="23.25" customHeight="1">
      <c r="A147" s="280" t="s">
        <v>207</v>
      </c>
      <c r="B147" s="266">
        <v>215208</v>
      </c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263"/>
      <c r="BT147" s="263"/>
      <c r="BU147" s="263"/>
      <c r="BV147" s="263"/>
      <c r="BW147" s="263"/>
      <c r="BX147" s="263"/>
      <c r="BY147" s="263"/>
      <c r="BZ147" s="263"/>
      <c r="CA147" s="263"/>
      <c r="CB147" s="263"/>
      <c r="CC147" s="263"/>
      <c r="CD147" s="263"/>
      <c r="CE147" s="263"/>
      <c r="CF147" s="263"/>
      <c r="CG147" s="263"/>
      <c r="CH147" s="263"/>
      <c r="CI147" s="263"/>
      <c r="CJ147" s="263"/>
      <c r="CK147" s="263"/>
      <c r="CL147" s="263"/>
      <c r="CM147" s="263"/>
      <c r="CN147" s="263"/>
      <c r="CO147" s="263"/>
      <c r="CP147" s="263"/>
      <c r="CQ147" s="263"/>
      <c r="CR147" s="263"/>
      <c r="CS147" s="263"/>
      <c r="CT147" s="263"/>
      <c r="CU147" s="263"/>
      <c r="CV147" s="263"/>
      <c r="CW147" s="263"/>
      <c r="CX147" s="263"/>
      <c r="CY147" s="263"/>
      <c r="CZ147" s="263"/>
      <c r="DA147" s="263"/>
      <c r="DB147" s="263"/>
      <c r="DC147" s="263"/>
      <c r="DD147" s="263"/>
      <c r="DE147" s="263"/>
      <c r="DF147" s="263"/>
      <c r="DG147" s="263"/>
      <c r="DH147" s="263"/>
      <c r="DI147" s="263"/>
      <c r="DJ147" s="263"/>
      <c r="DK147" s="263"/>
      <c r="DL147" s="263"/>
      <c r="DM147" s="263"/>
      <c r="DN147" s="263"/>
    </row>
    <row r="148" spans="1:118" ht="23.25" customHeight="1">
      <c r="A148" s="280" t="s">
        <v>208</v>
      </c>
      <c r="B148" s="266">
        <v>250000</v>
      </c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3"/>
      <c r="AG148" s="263"/>
      <c r="AH148" s="263"/>
      <c r="AI148" s="263"/>
      <c r="AJ148" s="263"/>
      <c r="AK148" s="263"/>
      <c r="AL148" s="263"/>
      <c r="AM148" s="263"/>
      <c r="AN148" s="263"/>
      <c r="AO148" s="263"/>
      <c r="AP148" s="263"/>
      <c r="AQ148" s="263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263"/>
      <c r="BF148" s="263"/>
      <c r="BG148" s="263"/>
      <c r="BH148" s="263"/>
      <c r="BI148" s="263"/>
      <c r="BJ148" s="263"/>
      <c r="BK148" s="263"/>
      <c r="BL148" s="263"/>
      <c r="BM148" s="263"/>
      <c r="BN148" s="263"/>
      <c r="BO148" s="263"/>
      <c r="BP148" s="263"/>
      <c r="BQ148" s="263"/>
      <c r="BR148" s="263"/>
      <c r="BS148" s="263"/>
      <c r="BT148" s="263"/>
      <c r="BU148" s="263"/>
      <c r="BV148" s="263"/>
      <c r="BW148" s="263"/>
      <c r="BX148" s="263"/>
      <c r="BY148" s="263"/>
      <c r="BZ148" s="263"/>
      <c r="CA148" s="263"/>
      <c r="CB148" s="263"/>
      <c r="CC148" s="263"/>
      <c r="CD148" s="263"/>
      <c r="CE148" s="263"/>
      <c r="CF148" s="263"/>
      <c r="CG148" s="263"/>
      <c r="CH148" s="263"/>
      <c r="CI148" s="263"/>
      <c r="CJ148" s="263"/>
      <c r="CK148" s="263"/>
      <c r="CL148" s="263"/>
      <c r="CM148" s="263"/>
      <c r="CN148" s="263"/>
      <c r="CO148" s="263"/>
      <c r="CP148" s="263"/>
      <c r="CQ148" s="263"/>
      <c r="CR148" s="263"/>
      <c r="CS148" s="263"/>
      <c r="CT148" s="263"/>
      <c r="CU148" s="263"/>
      <c r="CV148" s="263"/>
      <c r="CW148" s="263"/>
      <c r="CX148" s="263"/>
      <c r="CY148" s="263"/>
      <c r="CZ148" s="263"/>
      <c r="DA148" s="263"/>
      <c r="DB148" s="263"/>
      <c r="DC148" s="263"/>
      <c r="DD148" s="263"/>
      <c r="DE148" s="263"/>
      <c r="DF148" s="263"/>
      <c r="DG148" s="263"/>
      <c r="DH148" s="263"/>
      <c r="DI148" s="263"/>
      <c r="DJ148" s="263"/>
      <c r="DK148" s="263"/>
      <c r="DL148" s="263"/>
      <c r="DM148" s="263"/>
      <c r="DN148" s="263"/>
    </row>
    <row r="149" spans="1:42" ht="24.75" customHeight="1">
      <c r="A149" s="280" t="s">
        <v>86</v>
      </c>
      <c r="B149" s="266">
        <v>266048</v>
      </c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3"/>
      <c r="AE149" s="263"/>
      <c r="AF149" s="263"/>
      <c r="AG149" s="263"/>
      <c r="AH149" s="263"/>
      <c r="AI149" s="263"/>
      <c r="AJ149" s="263"/>
      <c r="AK149" s="263"/>
      <c r="AL149" s="263"/>
      <c r="AM149" s="263"/>
      <c r="AN149" s="263"/>
      <c r="AO149" s="263"/>
      <c r="AP149" s="263"/>
    </row>
    <row r="150" spans="1:42" ht="24.75" customHeight="1">
      <c r="A150" s="261" t="s">
        <v>87</v>
      </c>
      <c r="B150" s="271">
        <f>SUM(B151:B155)</f>
        <v>3752764.65</v>
      </c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</row>
    <row r="151" spans="1:42" s="309" customFormat="1" ht="24.75" customHeight="1">
      <c r="A151" s="285" t="s">
        <v>278</v>
      </c>
      <c r="B151" s="266">
        <v>3166515</v>
      </c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2"/>
      <c r="AN151" s="272"/>
      <c r="AO151" s="272"/>
      <c r="AP151" s="272"/>
    </row>
    <row r="152" spans="1:42" s="308" customFormat="1" ht="24.75" customHeight="1">
      <c r="A152" s="280" t="s">
        <v>89</v>
      </c>
      <c r="B152" s="266">
        <v>574492.65</v>
      </c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  <c r="AJ152" s="276"/>
      <c r="AK152" s="276"/>
      <c r="AL152" s="276"/>
      <c r="AM152" s="276"/>
      <c r="AN152" s="276"/>
      <c r="AO152" s="276"/>
      <c r="AP152" s="276"/>
    </row>
    <row r="153" spans="1:42" ht="24.75" customHeight="1">
      <c r="A153" s="280" t="s">
        <v>90</v>
      </c>
      <c r="B153" s="266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</row>
    <row r="154" spans="1:42" ht="24.75" customHeight="1">
      <c r="A154" s="280" t="s">
        <v>91</v>
      </c>
      <c r="B154" s="266">
        <v>11757</v>
      </c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  <c r="AM154" s="276"/>
      <c r="AN154" s="276"/>
      <c r="AO154" s="276"/>
      <c r="AP154" s="276"/>
    </row>
    <row r="155" spans="1:42" ht="24.75" customHeight="1">
      <c r="A155" s="280" t="s">
        <v>92</v>
      </c>
      <c r="B155" s="26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276"/>
      <c r="Z155" s="276"/>
      <c r="AA155" s="276"/>
      <c r="AB155" s="276"/>
      <c r="AC155" s="276"/>
      <c r="AD155" s="276"/>
      <c r="AE155" s="276"/>
      <c r="AF155" s="276"/>
      <c r="AG155" s="276"/>
      <c r="AH155" s="276"/>
      <c r="AI155" s="276"/>
      <c r="AJ155" s="276"/>
      <c r="AK155" s="276"/>
      <c r="AL155" s="276"/>
      <c r="AM155" s="276"/>
      <c r="AN155" s="276"/>
      <c r="AO155" s="276"/>
      <c r="AP155" s="276"/>
    </row>
    <row r="156" spans="1:42" ht="24.75" customHeight="1">
      <c r="A156" s="261" t="s">
        <v>93</v>
      </c>
      <c r="B156" s="271">
        <f>SUM(B157:B159)</f>
        <v>1138944.4520000003</v>
      </c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276"/>
      <c r="Z156" s="276"/>
      <c r="AA156" s="276"/>
      <c r="AB156" s="276"/>
      <c r="AC156" s="276"/>
      <c r="AD156" s="276"/>
      <c r="AE156" s="276"/>
      <c r="AF156" s="276"/>
      <c r="AG156" s="276"/>
      <c r="AH156" s="276"/>
      <c r="AI156" s="276"/>
      <c r="AJ156" s="276"/>
      <c r="AK156" s="276"/>
      <c r="AL156" s="276"/>
      <c r="AM156" s="276"/>
      <c r="AN156" s="276"/>
      <c r="AO156" s="276"/>
      <c r="AP156" s="276"/>
    </row>
    <row r="157" spans="1:42" s="264" customFormat="1" ht="24.75" customHeight="1">
      <c r="A157" s="280" t="s">
        <v>178</v>
      </c>
      <c r="B157" s="266">
        <v>0</v>
      </c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  <c r="AP157" s="272"/>
    </row>
    <row r="158" spans="1:42" ht="24.75" customHeight="1">
      <c r="A158" s="280" t="s">
        <v>179</v>
      </c>
      <c r="B158" s="266">
        <v>1138944.4520000003</v>
      </c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  <c r="AA158" s="276"/>
      <c r="AB158" s="276"/>
      <c r="AC158" s="276"/>
      <c r="AD158" s="276"/>
      <c r="AE158" s="276"/>
      <c r="AF158" s="276"/>
      <c r="AG158" s="276"/>
      <c r="AH158" s="276"/>
      <c r="AI158" s="276"/>
      <c r="AJ158" s="276"/>
      <c r="AK158" s="276"/>
      <c r="AL158" s="276"/>
      <c r="AM158" s="276"/>
      <c r="AN158" s="276"/>
      <c r="AO158" s="276"/>
      <c r="AP158" s="276"/>
    </row>
    <row r="159" spans="1:42" ht="24.75" customHeight="1">
      <c r="A159" s="280" t="s">
        <v>180</v>
      </c>
      <c r="B159" s="266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</row>
    <row r="160" spans="1:42" ht="24.75" customHeight="1">
      <c r="A160" s="261" t="s">
        <v>94</v>
      </c>
      <c r="B160" s="306">
        <f>SUM(B161:B165)</f>
        <v>9148056.67</v>
      </c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276"/>
      <c r="AD160" s="276"/>
      <c r="AE160" s="276"/>
      <c r="AF160" s="276"/>
      <c r="AG160" s="276"/>
      <c r="AH160" s="276"/>
      <c r="AI160" s="276"/>
      <c r="AJ160" s="276"/>
      <c r="AK160" s="276"/>
      <c r="AL160" s="276"/>
      <c r="AM160" s="276"/>
      <c r="AN160" s="276"/>
      <c r="AO160" s="276"/>
      <c r="AP160" s="276"/>
    </row>
    <row r="161" spans="1:42" s="264" customFormat="1" ht="24.75" customHeight="1">
      <c r="A161" s="280" t="s">
        <v>181</v>
      </c>
      <c r="B161" s="266">
        <v>4045200</v>
      </c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272"/>
      <c r="AO161" s="272"/>
      <c r="AP161" s="272"/>
    </row>
    <row r="162" spans="1:42" ht="24.75" customHeight="1">
      <c r="A162" s="280" t="s">
        <v>95</v>
      </c>
      <c r="B162" s="266">
        <v>2365894</v>
      </c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  <c r="AA162" s="276"/>
      <c r="AB162" s="276"/>
      <c r="AC162" s="276"/>
      <c r="AD162" s="276"/>
      <c r="AE162" s="276"/>
      <c r="AF162" s="276"/>
      <c r="AG162" s="276"/>
      <c r="AH162" s="276"/>
      <c r="AI162" s="276"/>
      <c r="AJ162" s="276"/>
      <c r="AK162" s="276"/>
      <c r="AL162" s="276"/>
      <c r="AM162" s="276"/>
      <c r="AN162" s="276"/>
      <c r="AO162" s="276"/>
      <c r="AP162" s="276"/>
    </row>
    <row r="163" spans="1:42" ht="24.75" customHeight="1">
      <c r="A163" s="280" t="s">
        <v>96</v>
      </c>
      <c r="B163" s="266">
        <v>0</v>
      </c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</row>
    <row r="164" spans="1:42" ht="24.75" customHeight="1">
      <c r="A164" s="280" t="s">
        <v>115</v>
      </c>
      <c r="B164" s="266">
        <v>2523240</v>
      </c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</row>
    <row r="165" spans="1:42" ht="24.75" customHeight="1">
      <c r="A165" s="280" t="s">
        <v>182</v>
      </c>
      <c r="B165" s="266">
        <v>213722.67</v>
      </c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</row>
    <row r="166" spans="1:42" ht="24.75" customHeight="1">
      <c r="A166" s="261" t="s">
        <v>97</v>
      </c>
      <c r="B166" s="287">
        <f>SUM(B167:B170)</f>
        <v>60231.61</v>
      </c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F166" s="263"/>
      <c r="AG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</row>
    <row r="167" spans="1:42" s="264" customFormat="1" ht="24.75" customHeight="1">
      <c r="A167" s="280" t="s">
        <v>98</v>
      </c>
      <c r="B167" s="266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  <c r="AP167" s="272"/>
    </row>
    <row r="168" spans="1:42" ht="24.75" customHeight="1">
      <c r="A168" s="280" t="s">
        <v>99</v>
      </c>
      <c r="B168" s="266">
        <v>60231.61</v>
      </c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6"/>
      <c r="AG168" s="276"/>
      <c r="AH168" s="276"/>
      <c r="AI168" s="276"/>
      <c r="AJ168" s="276"/>
      <c r="AK168" s="276"/>
      <c r="AL168" s="276"/>
      <c r="AM168" s="276"/>
      <c r="AN168" s="276"/>
      <c r="AO168" s="276"/>
      <c r="AP168" s="276"/>
    </row>
    <row r="169" spans="1:42" ht="24.75" customHeight="1">
      <c r="A169" s="280" t="s">
        <v>100</v>
      </c>
      <c r="B169" s="26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6"/>
      <c r="V169" s="276"/>
      <c r="W169" s="276"/>
      <c r="X169" s="276"/>
      <c r="Y169" s="276"/>
      <c r="Z169" s="276"/>
      <c r="AA169" s="276"/>
      <c r="AB169" s="276"/>
      <c r="AC169" s="276"/>
      <c r="AD169" s="276"/>
      <c r="AE169" s="276"/>
      <c r="AF169" s="276"/>
      <c r="AG169" s="276"/>
      <c r="AH169" s="276"/>
      <c r="AI169" s="276"/>
      <c r="AJ169" s="276"/>
      <c r="AK169" s="276"/>
      <c r="AL169" s="276"/>
      <c r="AM169" s="276"/>
      <c r="AN169" s="276"/>
      <c r="AO169" s="276"/>
      <c r="AP169" s="276"/>
    </row>
    <row r="170" spans="1:42" ht="24.75" customHeight="1">
      <c r="A170" s="280" t="s">
        <v>101</v>
      </c>
      <c r="B170" s="266"/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</row>
    <row r="171" spans="1:42" ht="24.75" customHeight="1">
      <c r="A171" s="310" t="s">
        <v>102</v>
      </c>
      <c r="B171" s="311">
        <f>B103+B124+B130+B150+B156+B160+B166</f>
        <v>42762983.712</v>
      </c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</row>
    <row r="172" spans="1:42" ht="24.75" customHeight="1">
      <c r="A172" s="312" t="s">
        <v>103</v>
      </c>
      <c r="B172" s="313">
        <f>B102+B171</f>
        <v>71269852.712</v>
      </c>
      <c r="C172" s="267"/>
      <c r="D172" s="267"/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67"/>
      <c r="AL172" s="267"/>
      <c r="AM172" s="267"/>
      <c r="AN172" s="267"/>
      <c r="AO172" s="267"/>
      <c r="AP172" s="267"/>
    </row>
    <row r="173" spans="1:42" ht="24.75" customHeight="1" thickBot="1">
      <c r="A173" s="314" t="s">
        <v>104</v>
      </c>
      <c r="B173" s="315">
        <f>B74-B172</f>
        <v>-4371440.342</v>
      </c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</row>
    <row r="174" spans="1:42" ht="24.75" customHeight="1" thickTop="1">
      <c r="A174" s="316"/>
      <c r="B174" s="317"/>
      <c r="C174" s="267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</row>
    <row r="175" spans="1:42" ht="24.75" customHeight="1" thickBot="1">
      <c r="A175" s="318" t="s">
        <v>279</v>
      </c>
      <c r="B175" s="319">
        <f>B74-B172+B158</f>
        <v>-3232495.8899999997</v>
      </c>
      <c r="C175" s="267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</row>
    <row r="176" spans="1:42" ht="24.75" customHeight="1" thickTop="1">
      <c r="A176" s="320" t="s">
        <v>280</v>
      </c>
      <c r="B176" s="319">
        <f>B175*20/100</f>
        <v>-646499.178</v>
      </c>
      <c r="C176" s="267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</row>
    <row r="177" spans="1:42" ht="24.75" customHeight="1">
      <c r="A177" s="320" t="s">
        <v>281</v>
      </c>
      <c r="B177" s="319">
        <f>B158</f>
        <v>1138944.4520000003</v>
      </c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</row>
    <row r="178" spans="1:42" ht="24.75" customHeight="1">
      <c r="A178" s="321" t="s">
        <v>282</v>
      </c>
      <c r="B178" s="322">
        <f>B176-B177</f>
        <v>-1785443.6300000004</v>
      </c>
      <c r="C178" s="267"/>
      <c r="D178" s="267"/>
      <c r="E178" s="267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</row>
    <row r="179" spans="1:42" ht="24.75" customHeight="1">
      <c r="A179" s="323"/>
      <c r="B179" s="317"/>
      <c r="C179" s="267"/>
      <c r="D179" s="267"/>
      <c r="E179" s="267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</row>
    <row r="180" spans="1:118" ht="24">
      <c r="A180" s="324" t="s">
        <v>155</v>
      </c>
      <c r="B180" s="325" t="s">
        <v>151</v>
      </c>
      <c r="C180" s="267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267"/>
      <c r="BB180" s="267"/>
      <c r="BC180" s="267"/>
      <c r="BD180" s="267"/>
      <c r="BE180" s="267"/>
      <c r="BF180" s="267"/>
      <c r="BG180" s="267"/>
      <c r="BH180" s="267"/>
      <c r="BI180" s="267"/>
      <c r="BJ180" s="267"/>
      <c r="BK180" s="267"/>
      <c r="BL180" s="267"/>
      <c r="BM180" s="267"/>
      <c r="BN180" s="267"/>
      <c r="BO180" s="267"/>
      <c r="BP180" s="267"/>
      <c r="BQ180" s="267"/>
      <c r="BR180" s="267"/>
      <c r="BS180" s="267"/>
      <c r="BT180" s="267"/>
      <c r="BU180" s="267"/>
      <c r="BV180" s="267"/>
      <c r="BW180" s="267"/>
      <c r="BX180" s="267"/>
      <c r="BY180" s="267"/>
      <c r="BZ180" s="267"/>
      <c r="CA180" s="267"/>
      <c r="CB180" s="267"/>
      <c r="CC180" s="267"/>
      <c r="CD180" s="267"/>
      <c r="CE180" s="267"/>
      <c r="CF180" s="267"/>
      <c r="CG180" s="267"/>
      <c r="CH180" s="267"/>
      <c r="CI180" s="267"/>
      <c r="CJ180" s="267"/>
      <c r="CK180" s="267"/>
      <c r="CL180" s="267"/>
      <c r="CM180" s="267"/>
      <c r="CN180" s="267"/>
      <c r="CO180" s="267"/>
      <c r="CP180" s="267"/>
      <c r="CQ180" s="267"/>
      <c r="CR180" s="267"/>
      <c r="CS180" s="267"/>
      <c r="CT180" s="267"/>
      <c r="CU180" s="267"/>
      <c r="CV180" s="267"/>
      <c r="CW180" s="267"/>
      <c r="CX180" s="267"/>
      <c r="CY180" s="267"/>
      <c r="CZ180" s="267"/>
      <c r="DA180" s="267"/>
      <c r="DB180" s="267"/>
      <c r="DC180" s="267"/>
      <c r="DD180" s="267"/>
      <c r="DE180" s="267"/>
      <c r="DF180" s="267"/>
      <c r="DG180" s="267"/>
      <c r="DH180" s="267"/>
      <c r="DI180" s="267"/>
      <c r="DJ180" s="267"/>
      <c r="DK180" s="267"/>
      <c r="DL180" s="267"/>
      <c r="DM180" s="267"/>
      <c r="DN180" s="267"/>
    </row>
    <row r="181" spans="1:118" ht="24">
      <c r="A181" s="326" t="s">
        <v>105</v>
      </c>
      <c r="B181" s="327">
        <v>9682954.48</v>
      </c>
      <c r="C181" s="267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V181" s="267"/>
      <c r="AW181" s="267"/>
      <c r="AX181" s="267"/>
      <c r="AY181" s="267"/>
      <c r="AZ181" s="267"/>
      <c r="BA181" s="267"/>
      <c r="BB181" s="267"/>
      <c r="BC181" s="267"/>
      <c r="BD181" s="267"/>
      <c r="BE181" s="267"/>
      <c r="BF181" s="267"/>
      <c r="BG181" s="267"/>
      <c r="BH181" s="267"/>
      <c r="BI181" s="267"/>
      <c r="BJ181" s="267"/>
      <c r="BK181" s="267"/>
      <c r="BL181" s="267"/>
      <c r="BM181" s="267"/>
      <c r="BN181" s="267"/>
      <c r="BO181" s="267"/>
      <c r="BP181" s="267"/>
      <c r="BQ181" s="267"/>
      <c r="BR181" s="267"/>
      <c r="BS181" s="267"/>
      <c r="BT181" s="267"/>
      <c r="BU181" s="267"/>
      <c r="BV181" s="267"/>
      <c r="BW181" s="267"/>
      <c r="BX181" s="267"/>
      <c r="BY181" s="267"/>
      <c r="BZ181" s="267"/>
      <c r="CA181" s="267"/>
      <c r="CB181" s="267"/>
      <c r="CC181" s="267"/>
      <c r="CD181" s="267"/>
      <c r="CE181" s="267"/>
      <c r="CF181" s="267"/>
      <c r="CG181" s="267"/>
      <c r="CH181" s="267"/>
      <c r="CI181" s="267"/>
      <c r="CJ181" s="267"/>
      <c r="CK181" s="267"/>
      <c r="CL181" s="267"/>
      <c r="CM181" s="267"/>
      <c r="CN181" s="267"/>
      <c r="CO181" s="267"/>
      <c r="CP181" s="267"/>
      <c r="CQ181" s="267"/>
      <c r="CR181" s="267"/>
      <c r="CS181" s="267"/>
      <c r="CT181" s="267"/>
      <c r="CU181" s="267"/>
      <c r="CV181" s="267"/>
      <c r="CW181" s="267"/>
      <c r="CX181" s="267"/>
      <c r="CY181" s="267"/>
      <c r="CZ181" s="267"/>
      <c r="DA181" s="267"/>
      <c r="DB181" s="267"/>
      <c r="DC181" s="267"/>
      <c r="DD181" s="267"/>
      <c r="DE181" s="267"/>
      <c r="DF181" s="267"/>
      <c r="DG181" s="267"/>
      <c r="DH181" s="267"/>
      <c r="DI181" s="267"/>
      <c r="DJ181" s="267"/>
      <c r="DK181" s="267"/>
      <c r="DL181" s="267"/>
      <c r="DM181" s="267"/>
      <c r="DN181" s="267"/>
    </row>
    <row r="182" spans="1:118" ht="24">
      <c r="A182" s="326" t="s">
        <v>106</v>
      </c>
      <c r="B182" s="327">
        <v>2262043.23</v>
      </c>
      <c r="C182" s="267"/>
      <c r="D182" s="267"/>
      <c r="E182" s="267"/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V182" s="267"/>
      <c r="AW182" s="267"/>
      <c r="AX182" s="267"/>
      <c r="AY182" s="267"/>
      <c r="AZ182" s="267"/>
      <c r="BA182" s="267"/>
      <c r="BB182" s="267"/>
      <c r="BC182" s="267"/>
      <c r="BD182" s="267"/>
      <c r="BE182" s="267"/>
      <c r="BF182" s="267"/>
      <c r="BG182" s="267"/>
      <c r="BH182" s="267"/>
      <c r="BI182" s="267"/>
      <c r="BJ182" s="267"/>
      <c r="BK182" s="267"/>
      <c r="BL182" s="267"/>
      <c r="BM182" s="267"/>
      <c r="BN182" s="267"/>
      <c r="BO182" s="267"/>
      <c r="BP182" s="267"/>
      <c r="BQ182" s="267"/>
      <c r="BR182" s="267"/>
      <c r="BS182" s="267"/>
      <c r="BT182" s="267"/>
      <c r="BU182" s="267"/>
      <c r="BV182" s="267"/>
      <c r="BW182" s="267"/>
      <c r="BX182" s="267"/>
      <c r="BY182" s="267"/>
      <c r="BZ182" s="267"/>
      <c r="CA182" s="267"/>
      <c r="CB182" s="267"/>
      <c r="CC182" s="267"/>
      <c r="CD182" s="267"/>
      <c r="CE182" s="267"/>
      <c r="CF182" s="267"/>
      <c r="CG182" s="267"/>
      <c r="CH182" s="267"/>
      <c r="CI182" s="267"/>
      <c r="CJ182" s="267"/>
      <c r="CK182" s="267"/>
      <c r="CL182" s="267"/>
      <c r="CM182" s="267"/>
      <c r="CN182" s="267"/>
      <c r="CO182" s="267"/>
      <c r="CP182" s="267"/>
      <c r="CQ182" s="267"/>
      <c r="CR182" s="267"/>
      <c r="CS182" s="267"/>
      <c r="CT182" s="267"/>
      <c r="CU182" s="267"/>
      <c r="CV182" s="267"/>
      <c r="CW182" s="267"/>
      <c r="CX182" s="267"/>
      <c r="CY182" s="267"/>
      <c r="CZ182" s="267"/>
      <c r="DA182" s="267"/>
      <c r="DB182" s="267"/>
      <c r="DC182" s="267"/>
      <c r="DD182" s="267"/>
      <c r="DE182" s="267"/>
      <c r="DF182" s="267"/>
      <c r="DG182" s="267"/>
      <c r="DH182" s="267"/>
      <c r="DI182" s="267"/>
      <c r="DJ182" s="267"/>
      <c r="DK182" s="267"/>
      <c r="DL182" s="267"/>
      <c r="DM182" s="267"/>
      <c r="DN182" s="267"/>
    </row>
    <row r="183" spans="1:118" ht="24">
      <c r="A183" s="326" t="s">
        <v>107</v>
      </c>
      <c r="B183" s="327">
        <v>2294092.78</v>
      </c>
      <c r="C183" s="267"/>
      <c r="D183" s="267"/>
      <c r="E183" s="267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7"/>
      <c r="AW183" s="267"/>
      <c r="AX183" s="267"/>
      <c r="AY183" s="267"/>
      <c r="AZ183" s="267"/>
      <c r="BA183" s="267"/>
      <c r="BB183" s="267"/>
      <c r="BC183" s="267"/>
      <c r="BD183" s="267"/>
      <c r="BE183" s="267"/>
      <c r="BF183" s="267"/>
      <c r="BG183" s="267"/>
      <c r="BH183" s="267"/>
      <c r="BI183" s="267"/>
      <c r="BJ183" s="267"/>
      <c r="BK183" s="267"/>
      <c r="BL183" s="267"/>
      <c r="BM183" s="267"/>
      <c r="BN183" s="267"/>
      <c r="BO183" s="267"/>
      <c r="BP183" s="267"/>
      <c r="BQ183" s="267"/>
      <c r="BR183" s="267"/>
      <c r="BS183" s="267"/>
      <c r="BT183" s="267"/>
      <c r="BU183" s="267"/>
      <c r="BV183" s="267"/>
      <c r="BW183" s="267"/>
      <c r="BX183" s="267"/>
      <c r="BY183" s="267"/>
      <c r="BZ183" s="267"/>
      <c r="CA183" s="267"/>
      <c r="CB183" s="267"/>
      <c r="CC183" s="267"/>
      <c r="CD183" s="267"/>
      <c r="CE183" s="267"/>
      <c r="CF183" s="267"/>
      <c r="CG183" s="267"/>
      <c r="CH183" s="267"/>
      <c r="CI183" s="267"/>
      <c r="CJ183" s="267"/>
      <c r="CK183" s="267"/>
      <c r="CL183" s="267"/>
      <c r="CM183" s="267"/>
      <c r="CN183" s="267"/>
      <c r="CO183" s="267"/>
      <c r="CP183" s="267"/>
      <c r="CQ183" s="267"/>
      <c r="CR183" s="267"/>
      <c r="CS183" s="267"/>
      <c r="CT183" s="267"/>
      <c r="CU183" s="267"/>
      <c r="CV183" s="267"/>
      <c r="CW183" s="267"/>
      <c r="CX183" s="267"/>
      <c r="CY183" s="267"/>
      <c r="CZ183" s="267"/>
      <c r="DA183" s="267"/>
      <c r="DB183" s="267"/>
      <c r="DC183" s="267"/>
      <c r="DD183" s="267"/>
      <c r="DE183" s="267"/>
      <c r="DF183" s="267"/>
      <c r="DG183" s="267"/>
      <c r="DH183" s="267"/>
      <c r="DI183" s="267"/>
      <c r="DJ183" s="267"/>
      <c r="DK183" s="267"/>
      <c r="DL183" s="267"/>
      <c r="DM183" s="267"/>
      <c r="DN183" s="267"/>
    </row>
    <row r="184" spans="1:118" ht="24">
      <c r="A184" s="328" t="s">
        <v>283</v>
      </c>
      <c r="B184" s="327">
        <v>0</v>
      </c>
      <c r="C184" s="267"/>
      <c r="D184" s="267"/>
      <c r="E184" s="26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267"/>
      <c r="BB184" s="267"/>
      <c r="BC184" s="267"/>
      <c r="BD184" s="267"/>
      <c r="BE184" s="267"/>
      <c r="BF184" s="267"/>
      <c r="BG184" s="267"/>
      <c r="BH184" s="267"/>
      <c r="BI184" s="267"/>
      <c r="BJ184" s="267"/>
      <c r="BK184" s="267"/>
      <c r="BL184" s="267"/>
      <c r="BM184" s="267"/>
      <c r="BN184" s="267"/>
      <c r="BO184" s="267"/>
      <c r="BP184" s="267"/>
      <c r="BQ184" s="267"/>
      <c r="BR184" s="267"/>
      <c r="BS184" s="267"/>
      <c r="BT184" s="267"/>
      <c r="BU184" s="267"/>
      <c r="BV184" s="267"/>
      <c r="BW184" s="267"/>
      <c r="BX184" s="267"/>
      <c r="BY184" s="267"/>
      <c r="BZ184" s="267"/>
      <c r="CA184" s="267"/>
      <c r="CB184" s="267"/>
      <c r="CC184" s="267"/>
      <c r="CD184" s="267"/>
      <c r="CE184" s="267"/>
      <c r="CF184" s="267"/>
      <c r="CG184" s="267"/>
      <c r="CH184" s="267"/>
      <c r="CI184" s="267"/>
      <c r="CJ184" s="267"/>
      <c r="CK184" s="267"/>
      <c r="CL184" s="267"/>
      <c r="CM184" s="267"/>
      <c r="CN184" s="267"/>
      <c r="CO184" s="267"/>
      <c r="CP184" s="267"/>
      <c r="CQ184" s="267"/>
      <c r="CR184" s="267"/>
      <c r="CS184" s="267"/>
      <c r="CT184" s="267"/>
      <c r="CU184" s="267"/>
      <c r="CV184" s="267"/>
      <c r="CW184" s="267"/>
      <c r="CX184" s="267"/>
      <c r="CY184" s="267"/>
      <c r="CZ184" s="267"/>
      <c r="DA184" s="267"/>
      <c r="DB184" s="267"/>
      <c r="DC184" s="267"/>
      <c r="DD184" s="267"/>
      <c r="DE184" s="267"/>
      <c r="DF184" s="267"/>
      <c r="DG184" s="267"/>
      <c r="DH184" s="267"/>
      <c r="DI184" s="267"/>
      <c r="DJ184" s="267"/>
      <c r="DK184" s="267"/>
      <c r="DL184" s="267"/>
      <c r="DM184" s="267"/>
      <c r="DN184" s="267"/>
    </row>
    <row r="185" spans="1:118" ht="24">
      <c r="A185" s="326" t="s">
        <v>108</v>
      </c>
      <c r="B185" s="327">
        <v>3520013.67</v>
      </c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267"/>
      <c r="BB185" s="267"/>
      <c r="BC185" s="267"/>
      <c r="BD185" s="267"/>
      <c r="BE185" s="267"/>
      <c r="BF185" s="267"/>
      <c r="BG185" s="267"/>
      <c r="BH185" s="267"/>
      <c r="BI185" s="267"/>
      <c r="BJ185" s="267"/>
      <c r="BK185" s="267"/>
      <c r="BL185" s="267"/>
      <c r="BM185" s="267"/>
      <c r="BN185" s="267"/>
      <c r="BO185" s="267"/>
      <c r="BP185" s="267"/>
      <c r="BQ185" s="267"/>
      <c r="BR185" s="267"/>
      <c r="BS185" s="267"/>
      <c r="BT185" s="267"/>
      <c r="BU185" s="267"/>
      <c r="BV185" s="267"/>
      <c r="BW185" s="267"/>
      <c r="BX185" s="267"/>
      <c r="BY185" s="267"/>
      <c r="BZ185" s="267"/>
      <c r="CA185" s="267"/>
      <c r="CB185" s="267"/>
      <c r="CC185" s="267"/>
      <c r="CD185" s="267"/>
      <c r="CE185" s="267"/>
      <c r="CF185" s="267"/>
      <c r="CG185" s="267"/>
      <c r="CH185" s="267"/>
      <c r="CI185" s="267"/>
      <c r="CJ185" s="267"/>
      <c r="CK185" s="267"/>
      <c r="CL185" s="267"/>
      <c r="CM185" s="267"/>
      <c r="CN185" s="267"/>
      <c r="CO185" s="267"/>
      <c r="CP185" s="267"/>
      <c r="CQ185" s="267"/>
      <c r="CR185" s="267"/>
      <c r="CS185" s="267"/>
      <c r="CT185" s="267"/>
      <c r="CU185" s="267"/>
      <c r="CV185" s="267"/>
      <c r="CW185" s="267"/>
      <c r="CX185" s="267"/>
      <c r="CY185" s="267"/>
      <c r="CZ185" s="267"/>
      <c r="DA185" s="267"/>
      <c r="DB185" s="267"/>
      <c r="DC185" s="267"/>
      <c r="DD185" s="267"/>
      <c r="DE185" s="267"/>
      <c r="DF185" s="267"/>
      <c r="DG185" s="267"/>
      <c r="DH185" s="267"/>
      <c r="DI185" s="267"/>
      <c r="DJ185" s="267"/>
      <c r="DK185" s="267"/>
      <c r="DL185" s="267"/>
      <c r="DM185" s="267"/>
      <c r="DN185" s="267"/>
    </row>
    <row r="186" spans="1:118" ht="24.75" thickBot="1">
      <c r="A186" s="329" t="s">
        <v>109</v>
      </c>
      <c r="B186" s="327">
        <f>SUM(B182:B185)</f>
        <v>8076149.68</v>
      </c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267"/>
      <c r="BB186" s="267"/>
      <c r="BC186" s="267"/>
      <c r="BD186" s="267"/>
      <c r="BE186" s="267"/>
      <c r="BF186" s="267"/>
      <c r="BG186" s="267"/>
      <c r="BH186" s="267"/>
      <c r="BI186" s="267"/>
      <c r="BJ186" s="267"/>
      <c r="BK186" s="267"/>
      <c r="BL186" s="267"/>
      <c r="BM186" s="267"/>
      <c r="BN186" s="267"/>
      <c r="BO186" s="267"/>
      <c r="BP186" s="267"/>
      <c r="BQ186" s="267"/>
      <c r="BR186" s="267"/>
      <c r="BS186" s="267"/>
      <c r="BT186" s="267"/>
      <c r="BU186" s="267"/>
      <c r="BV186" s="267"/>
      <c r="BW186" s="267"/>
      <c r="BX186" s="267"/>
      <c r="BY186" s="267"/>
      <c r="BZ186" s="267"/>
      <c r="CA186" s="267"/>
      <c r="CB186" s="267"/>
      <c r="CC186" s="267"/>
      <c r="CD186" s="267"/>
      <c r="CE186" s="267"/>
      <c r="CF186" s="267"/>
      <c r="CG186" s="267"/>
      <c r="CH186" s="267"/>
      <c r="CI186" s="267"/>
      <c r="CJ186" s="267"/>
      <c r="CK186" s="267"/>
      <c r="CL186" s="267"/>
      <c r="CM186" s="267"/>
      <c r="CN186" s="267"/>
      <c r="CO186" s="267"/>
      <c r="CP186" s="267"/>
      <c r="CQ186" s="267"/>
      <c r="CR186" s="267"/>
      <c r="CS186" s="267"/>
      <c r="CT186" s="267"/>
      <c r="CU186" s="267"/>
      <c r="CV186" s="267"/>
      <c r="CW186" s="267"/>
      <c r="CX186" s="267"/>
      <c r="CY186" s="267"/>
      <c r="CZ186" s="267"/>
      <c r="DA186" s="267"/>
      <c r="DB186" s="267"/>
      <c r="DC186" s="267"/>
      <c r="DD186" s="267"/>
      <c r="DE186" s="267"/>
      <c r="DF186" s="267"/>
      <c r="DG186" s="267"/>
      <c r="DH186" s="267"/>
      <c r="DI186" s="267"/>
      <c r="DJ186" s="267"/>
      <c r="DK186" s="267"/>
      <c r="DL186" s="267"/>
      <c r="DM186" s="267"/>
      <c r="DN186" s="267"/>
    </row>
    <row r="187" spans="1:118" ht="25.5" thickBot="1" thickTop="1">
      <c r="A187" s="330" t="s">
        <v>110</v>
      </c>
      <c r="B187" s="331">
        <f>B181-B186</f>
        <v>1606804.8000000007</v>
      </c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267"/>
      <c r="BB187" s="267"/>
      <c r="BC187" s="267"/>
      <c r="BD187" s="267"/>
      <c r="BE187" s="267"/>
      <c r="BF187" s="267"/>
      <c r="BG187" s="267"/>
      <c r="BH187" s="267"/>
      <c r="BI187" s="267"/>
      <c r="BJ187" s="267"/>
      <c r="BK187" s="267"/>
      <c r="BL187" s="267"/>
      <c r="BM187" s="267"/>
      <c r="BN187" s="267"/>
      <c r="BO187" s="267"/>
      <c r="BP187" s="267"/>
      <c r="BQ187" s="267"/>
      <c r="BR187" s="267"/>
      <c r="BS187" s="267"/>
      <c r="BT187" s="267"/>
      <c r="BU187" s="267"/>
      <c r="BV187" s="267"/>
      <c r="BW187" s="267"/>
      <c r="BX187" s="267"/>
      <c r="BY187" s="267"/>
      <c r="BZ187" s="267"/>
      <c r="CA187" s="267"/>
      <c r="CB187" s="267"/>
      <c r="CC187" s="267"/>
      <c r="CD187" s="267"/>
      <c r="CE187" s="267"/>
      <c r="CF187" s="267"/>
      <c r="CG187" s="267"/>
      <c r="CH187" s="267"/>
      <c r="CI187" s="267"/>
      <c r="CJ187" s="267"/>
      <c r="CK187" s="267"/>
      <c r="CL187" s="267"/>
      <c r="CM187" s="267"/>
      <c r="CN187" s="267"/>
      <c r="CO187" s="267"/>
      <c r="CP187" s="267"/>
      <c r="CQ187" s="267"/>
      <c r="CR187" s="267"/>
      <c r="CS187" s="267"/>
      <c r="CT187" s="267"/>
      <c r="CU187" s="267"/>
      <c r="CV187" s="267"/>
      <c r="CW187" s="267"/>
      <c r="CX187" s="267"/>
      <c r="CY187" s="267"/>
      <c r="CZ187" s="267"/>
      <c r="DA187" s="267"/>
      <c r="DB187" s="267"/>
      <c r="DC187" s="267"/>
      <c r="DD187" s="267"/>
      <c r="DE187" s="267"/>
      <c r="DF187" s="267"/>
      <c r="DG187" s="267"/>
      <c r="DH187" s="267"/>
      <c r="DI187" s="267"/>
      <c r="DJ187" s="267"/>
      <c r="DK187" s="267"/>
      <c r="DL187" s="267"/>
      <c r="DM187" s="267"/>
      <c r="DN187" s="267"/>
    </row>
    <row r="188" spans="1:2" ht="24.75" customHeight="1" thickTop="1">
      <c r="A188" s="332" t="s">
        <v>284</v>
      </c>
      <c r="B188" s="333">
        <f>B187+B173</f>
        <v>-2764635.5419999994</v>
      </c>
    </row>
    <row r="189" spans="1:4" ht="24.75" customHeight="1">
      <c r="A189" s="332" t="s">
        <v>285</v>
      </c>
      <c r="B189" s="333">
        <f>B187+B175</f>
        <v>-1625691.089999999</v>
      </c>
      <c r="C189" s="333"/>
      <c r="D189" s="333"/>
    </row>
    <row r="190" ht="24.75" customHeight="1">
      <c r="A190" s="332"/>
    </row>
    <row r="191" ht="24.75" customHeight="1">
      <c r="A191" s="334" t="s">
        <v>5</v>
      </c>
    </row>
    <row r="192" spans="1:2" ht="24.75" customHeight="1">
      <c r="A192" s="334" t="s">
        <v>286</v>
      </c>
      <c r="B192" s="333">
        <f>B4-B161-B162-B165</f>
        <v>49530560.92999999</v>
      </c>
    </row>
  </sheetData>
  <sheetProtection/>
  <mergeCells count="1">
    <mergeCell ref="A1:B1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K277"/>
  <sheetViews>
    <sheetView tabSelected="1" zoomScale="120" zoomScaleNormal="120" zoomScalePageLayoutView="0" workbookViewId="0" topLeftCell="A1">
      <selection activeCell="G86" sqref="G86"/>
    </sheetView>
  </sheetViews>
  <sheetFormatPr defaultColWidth="9.00390625" defaultRowHeight="24.75" customHeight="1"/>
  <cols>
    <col min="1" max="1" width="29.375" style="106" customWidth="1"/>
    <col min="2" max="2" width="13.25390625" style="106" customWidth="1"/>
    <col min="3" max="3" width="13.50390625" style="82" customWidth="1"/>
    <col min="4" max="4" width="13.50390625" style="78" customWidth="1"/>
    <col min="5" max="5" width="13.50390625" style="165" customWidth="1"/>
    <col min="6" max="17" width="13.50390625" style="78" customWidth="1"/>
    <col min="18" max="18" width="13.50390625" style="79" customWidth="1"/>
    <col min="19" max="21" width="13.50390625" style="80" customWidth="1"/>
    <col min="22" max="22" width="30.375" style="81" customWidth="1"/>
    <col min="23" max="65" width="13.75390625" style="77" customWidth="1"/>
    <col min="66" max="16384" width="9.00390625" style="40" customWidth="1"/>
  </cols>
  <sheetData>
    <row r="1" spans="1:65" ht="24.75" customHeight="1">
      <c r="A1" s="380" t="s">
        <v>111</v>
      </c>
      <c r="B1" s="380"/>
      <c r="C1" s="380"/>
      <c r="D1" s="380"/>
      <c r="E1" s="37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 ht="24.75" customHeight="1">
      <c r="A2" s="381" t="s">
        <v>210</v>
      </c>
      <c r="B2" s="381"/>
      <c r="C2" s="381"/>
      <c r="D2" s="381"/>
      <c r="E2" s="37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3"/>
      <c r="U2" s="3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24.75" customHeight="1">
      <c r="A3" s="120" t="s">
        <v>0</v>
      </c>
      <c r="B3" s="121" t="s">
        <v>213</v>
      </c>
      <c r="C3" s="7" t="s">
        <v>113</v>
      </c>
      <c r="D3" s="8" t="s">
        <v>112</v>
      </c>
      <c r="E3" s="7" t="s">
        <v>114</v>
      </c>
      <c r="F3" s="9" t="s">
        <v>164</v>
      </c>
      <c r="G3" s="9" t="s">
        <v>165</v>
      </c>
      <c r="H3" s="9" t="s">
        <v>166</v>
      </c>
      <c r="I3" s="9" t="s">
        <v>167</v>
      </c>
      <c r="J3" s="9" t="s">
        <v>168</v>
      </c>
      <c r="K3" s="9" t="s">
        <v>169</v>
      </c>
      <c r="L3" s="9" t="s">
        <v>170</v>
      </c>
      <c r="M3" s="9" t="s">
        <v>171</v>
      </c>
      <c r="N3" s="9" t="s">
        <v>172</v>
      </c>
      <c r="O3" s="9" t="s">
        <v>173</v>
      </c>
      <c r="P3" s="9" t="s">
        <v>174</v>
      </c>
      <c r="Q3" s="10" t="s">
        <v>1</v>
      </c>
      <c r="R3" s="11" t="s">
        <v>2</v>
      </c>
      <c r="S3" s="12" t="s">
        <v>209</v>
      </c>
      <c r="T3" s="12" t="s">
        <v>3</v>
      </c>
      <c r="U3" s="12" t="s">
        <v>4</v>
      </c>
      <c r="V3" s="11" t="s">
        <v>5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s="14" customFormat="1" ht="24.75" customHeight="1">
      <c r="A4" s="122" t="s">
        <v>6</v>
      </c>
      <c r="B4" s="87">
        <f>B5+B13+B14+B23+B24+B25+B26+B27+B28+B29+B30+B31+B32+B33+B34+B35+B39+B36+B37+B38</f>
        <v>57063071.35999999</v>
      </c>
      <c r="C4" s="87">
        <f>C5+C13+C14+C23+C24+C25+C26+C27+C28+C29+C30+C31+C32+C33+C34+C35+C39+C36+C37+C38</f>
        <v>55081615.22</v>
      </c>
      <c r="D4" s="87">
        <f>D5+D13+D14+D23+D24+D25+D26+D27+D28+D29+D30+D31+D32+D33+D34+D35+D36+D37+D38+D39</f>
        <v>56155377.599999994</v>
      </c>
      <c r="E4" s="87">
        <f aca="true" t="shared" si="0" ref="E4:P4">E5+E13+E14+E23+E24+E25+E26+E27+E28+E29+E30+E31+E32+E33+E34+E35+E39+E36+E37+E38</f>
        <v>19607748.159999996</v>
      </c>
      <c r="F4" s="87">
        <f t="shared" si="0"/>
        <v>576655.5</v>
      </c>
      <c r="G4" s="87">
        <f t="shared" si="0"/>
        <v>0</v>
      </c>
      <c r="H4" s="87">
        <f t="shared" si="0"/>
        <v>0</v>
      </c>
      <c r="I4" s="87">
        <f t="shared" si="0"/>
        <v>0</v>
      </c>
      <c r="J4" s="87">
        <f t="shared" si="0"/>
        <v>0</v>
      </c>
      <c r="K4" s="87">
        <f t="shared" si="0"/>
        <v>0</v>
      </c>
      <c r="L4" s="87">
        <f t="shared" si="0"/>
        <v>0</v>
      </c>
      <c r="M4" s="87">
        <f t="shared" si="0"/>
        <v>0</v>
      </c>
      <c r="N4" s="87">
        <f t="shared" si="0"/>
        <v>0</v>
      </c>
      <c r="O4" s="87">
        <f t="shared" si="0"/>
        <v>0</v>
      </c>
      <c r="P4" s="87">
        <f t="shared" si="0"/>
        <v>0</v>
      </c>
      <c r="Q4" s="87">
        <f>Q5+Q13+Q14+Q23+Q24+Q25+Q26+Q27+Q28+Q29+Q30+Q31+Q32+Q33+Q34+Q35+Q39</f>
        <v>20040881.119999997</v>
      </c>
      <c r="R4" s="88">
        <f>Q4*100/D4</f>
        <v>35.68826704853286</v>
      </c>
      <c r="S4" s="87">
        <f>D4/12</f>
        <v>4679614.8</v>
      </c>
      <c r="T4" s="87">
        <f>Q4/12</f>
        <v>1670073.4266666665</v>
      </c>
      <c r="U4" s="87">
        <f>S4-T4</f>
        <v>3009541.373333333</v>
      </c>
      <c r="V4" s="1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</row>
    <row r="5" spans="1:65" s="118" customFormat="1" ht="24.75" customHeight="1">
      <c r="A5" s="123" t="s">
        <v>7</v>
      </c>
      <c r="B5" s="124">
        <f>SUM(B6:B12)</f>
        <v>30992641.07</v>
      </c>
      <c r="C5" s="124">
        <f>SUM(C6:C12)</f>
        <v>26689541.19</v>
      </c>
      <c r="D5" s="124">
        <f>SUM(D6:D12)</f>
        <v>30439945.130000003</v>
      </c>
      <c r="E5" s="112">
        <f aca="true" t="shared" si="1" ref="E5:Q5">SUM(E6:E12)</f>
        <v>15000789.84</v>
      </c>
      <c r="F5" s="112">
        <f t="shared" si="1"/>
        <v>0</v>
      </c>
      <c r="G5" s="112">
        <f t="shared" si="1"/>
        <v>0</v>
      </c>
      <c r="H5" s="112">
        <f t="shared" si="1"/>
        <v>0</v>
      </c>
      <c r="I5" s="112">
        <f t="shared" si="1"/>
        <v>0</v>
      </c>
      <c r="J5" s="112">
        <f t="shared" si="1"/>
        <v>0</v>
      </c>
      <c r="K5" s="112">
        <f t="shared" si="1"/>
        <v>0</v>
      </c>
      <c r="L5" s="112">
        <f t="shared" si="1"/>
        <v>0</v>
      </c>
      <c r="M5" s="112">
        <f t="shared" si="1"/>
        <v>0</v>
      </c>
      <c r="N5" s="112">
        <f t="shared" si="1"/>
        <v>0</v>
      </c>
      <c r="O5" s="112">
        <f t="shared" si="1"/>
        <v>0</v>
      </c>
      <c r="P5" s="112">
        <f t="shared" si="1"/>
        <v>0</v>
      </c>
      <c r="Q5" s="112">
        <f t="shared" si="1"/>
        <v>15000789.84</v>
      </c>
      <c r="R5" s="114">
        <f aca="true" t="shared" si="2" ref="R5:R16">Q5*100/D5</f>
        <v>49.27995032821532</v>
      </c>
      <c r="S5" s="115">
        <f aca="true" t="shared" si="3" ref="S5:S73">D5/12</f>
        <v>2536662.0941666667</v>
      </c>
      <c r="T5" s="113">
        <f aca="true" t="shared" si="4" ref="T5:T68">Q5/12</f>
        <v>1250065.82</v>
      </c>
      <c r="U5" s="115">
        <f aca="true" t="shared" si="5" ref="U5:U73">S5-T5</f>
        <v>1286596.2741666667</v>
      </c>
      <c r="V5" s="116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</row>
    <row r="6" spans="1:65" s="93" customFormat="1" ht="24.75" customHeight="1">
      <c r="A6" s="125" t="s">
        <v>8</v>
      </c>
      <c r="B6" s="204">
        <v>27386741.2</v>
      </c>
      <c r="C6" s="126">
        <v>26487537.91</v>
      </c>
      <c r="D6" s="197">
        <v>30090127.67</v>
      </c>
      <c r="E6" s="21">
        <v>15000789.84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5">
        <f>SUM(E6:P6)</f>
        <v>15000789.84</v>
      </c>
      <c r="R6" s="23">
        <f t="shared" si="2"/>
        <v>49.8528620566667</v>
      </c>
      <c r="S6" s="24">
        <f t="shared" si="3"/>
        <v>2507510.6391666667</v>
      </c>
      <c r="T6" s="87">
        <f t="shared" si="4"/>
        <v>1250065.82</v>
      </c>
      <c r="U6" s="24">
        <f t="shared" si="5"/>
        <v>1257444.8191666666</v>
      </c>
      <c r="V6" s="25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</row>
    <row r="7" spans="1:65" s="95" customFormat="1" ht="24.75" customHeight="1">
      <c r="A7" s="127" t="s">
        <v>9</v>
      </c>
      <c r="B7" s="128">
        <v>0</v>
      </c>
      <c r="C7" s="126"/>
      <c r="D7" s="6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5">
        <f aca="true" t="shared" si="6" ref="Q7:Q70">SUM(E7:P7)</f>
        <v>0</v>
      </c>
      <c r="R7" s="23" t="e">
        <f t="shared" si="2"/>
        <v>#DIV/0!</v>
      </c>
      <c r="S7" s="24">
        <f t="shared" si="3"/>
        <v>0</v>
      </c>
      <c r="T7" s="87">
        <f t="shared" si="4"/>
        <v>0</v>
      </c>
      <c r="U7" s="24">
        <f t="shared" si="5"/>
        <v>0</v>
      </c>
      <c r="V7" s="25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</row>
    <row r="8" spans="1:65" ht="24.75" customHeight="1">
      <c r="A8" s="127" t="s">
        <v>10</v>
      </c>
      <c r="B8" s="128">
        <v>741754.75</v>
      </c>
      <c r="C8" s="129"/>
      <c r="D8" s="68"/>
      <c r="E8" s="2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5">
        <f t="shared" si="6"/>
        <v>0</v>
      </c>
      <c r="R8" s="23" t="e">
        <f t="shared" si="2"/>
        <v>#DIV/0!</v>
      </c>
      <c r="S8" s="24">
        <f t="shared" si="3"/>
        <v>0</v>
      </c>
      <c r="T8" s="87">
        <f t="shared" si="4"/>
        <v>0</v>
      </c>
      <c r="U8" s="24">
        <f t="shared" si="5"/>
        <v>0</v>
      </c>
      <c r="V8" s="25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</row>
    <row r="9" spans="1:65" ht="24.75" customHeight="1">
      <c r="A9" s="127" t="s">
        <v>11</v>
      </c>
      <c r="B9" s="128">
        <v>2864145.12</v>
      </c>
      <c r="C9" s="126">
        <v>202003.28</v>
      </c>
      <c r="D9" s="68">
        <v>349817.46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5">
        <f t="shared" si="6"/>
        <v>0</v>
      </c>
      <c r="R9" s="23">
        <f t="shared" si="2"/>
        <v>0</v>
      </c>
      <c r="S9" s="24">
        <f t="shared" si="3"/>
        <v>29151.455</v>
      </c>
      <c r="T9" s="87">
        <f t="shared" si="4"/>
        <v>0</v>
      </c>
      <c r="U9" s="24">
        <f t="shared" si="5"/>
        <v>29151.455</v>
      </c>
      <c r="V9" s="2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</row>
    <row r="10" spans="1:65" ht="24.75" customHeight="1">
      <c r="A10" s="127" t="s">
        <v>12</v>
      </c>
      <c r="B10" s="128"/>
      <c r="C10" s="126"/>
      <c r="D10" s="6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5">
        <f t="shared" si="6"/>
        <v>0</v>
      </c>
      <c r="R10" s="23" t="e">
        <f t="shared" si="2"/>
        <v>#DIV/0!</v>
      </c>
      <c r="S10" s="24">
        <f t="shared" si="3"/>
        <v>0</v>
      </c>
      <c r="T10" s="87">
        <f t="shared" si="4"/>
        <v>0</v>
      </c>
      <c r="U10" s="24">
        <f t="shared" si="5"/>
        <v>0</v>
      </c>
      <c r="V10" s="2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</row>
    <row r="11" spans="1:65" ht="24.75" customHeight="1">
      <c r="A11" s="127" t="s">
        <v>13</v>
      </c>
      <c r="B11" s="128">
        <v>0</v>
      </c>
      <c r="C11" s="126"/>
      <c r="D11" s="6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5">
        <f t="shared" si="6"/>
        <v>0</v>
      </c>
      <c r="R11" s="23" t="e">
        <f t="shared" si="2"/>
        <v>#DIV/0!</v>
      </c>
      <c r="S11" s="24">
        <f t="shared" si="3"/>
        <v>0</v>
      </c>
      <c r="T11" s="87">
        <f t="shared" si="4"/>
        <v>0</v>
      </c>
      <c r="U11" s="24">
        <f t="shared" si="5"/>
        <v>0</v>
      </c>
      <c r="V11" s="25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</row>
    <row r="12" spans="1:65" ht="24.75" customHeight="1">
      <c r="A12" s="127" t="s">
        <v>14</v>
      </c>
      <c r="B12" s="128">
        <v>0</v>
      </c>
      <c r="C12" s="126"/>
      <c r="D12" s="6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5">
        <f t="shared" si="6"/>
        <v>0</v>
      </c>
      <c r="R12" s="23" t="e">
        <f t="shared" si="2"/>
        <v>#DIV/0!</v>
      </c>
      <c r="S12" s="24">
        <f t="shared" si="3"/>
        <v>0</v>
      </c>
      <c r="T12" s="87">
        <f t="shared" si="4"/>
        <v>0</v>
      </c>
      <c r="U12" s="24">
        <f t="shared" si="5"/>
        <v>0</v>
      </c>
      <c r="V12" s="25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</row>
    <row r="13" spans="1:65" s="175" customFormat="1" ht="24.75" customHeight="1">
      <c r="A13" s="166" t="s">
        <v>15</v>
      </c>
      <c r="B13" s="167">
        <v>11384884.51</v>
      </c>
      <c r="C13" s="168">
        <v>9107907.61</v>
      </c>
      <c r="D13" s="197">
        <v>10780564.47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5">
        <f t="shared" si="6"/>
        <v>0</v>
      </c>
      <c r="R13" s="171">
        <f t="shared" si="2"/>
        <v>0</v>
      </c>
      <c r="S13" s="172">
        <f t="shared" si="3"/>
        <v>898380.3725</v>
      </c>
      <c r="T13" s="170">
        <f t="shared" si="4"/>
        <v>0</v>
      </c>
      <c r="U13" s="172">
        <f t="shared" si="5"/>
        <v>898380.3725</v>
      </c>
      <c r="V13" s="173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</row>
    <row r="14" spans="1:65" s="177" customFormat="1" ht="24.75" customHeight="1">
      <c r="A14" s="166" t="s">
        <v>16</v>
      </c>
      <c r="B14" s="168">
        <f aca="true" t="shared" si="7" ref="B14:S14">SUM(B15:B22)</f>
        <v>6899077.640000001</v>
      </c>
      <c r="C14" s="168">
        <f t="shared" si="7"/>
        <v>7242244.45</v>
      </c>
      <c r="D14" s="197">
        <f t="shared" si="7"/>
        <v>7102142.84</v>
      </c>
      <c r="E14" s="169">
        <f t="shared" si="7"/>
        <v>3839302.45</v>
      </c>
      <c r="F14" s="169">
        <f t="shared" si="7"/>
        <v>0</v>
      </c>
      <c r="G14" s="169">
        <f t="shared" si="7"/>
        <v>0</v>
      </c>
      <c r="H14" s="169">
        <f t="shared" si="7"/>
        <v>0</v>
      </c>
      <c r="I14" s="169">
        <f t="shared" si="7"/>
        <v>0</v>
      </c>
      <c r="J14" s="169">
        <f t="shared" si="7"/>
        <v>0</v>
      </c>
      <c r="K14" s="169">
        <f t="shared" si="7"/>
        <v>0</v>
      </c>
      <c r="L14" s="169">
        <f t="shared" si="7"/>
        <v>0</v>
      </c>
      <c r="M14" s="169">
        <f t="shared" si="7"/>
        <v>0</v>
      </c>
      <c r="N14" s="169">
        <f t="shared" si="7"/>
        <v>0</v>
      </c>
      <c r="O14" s="169">
        <f t="shared" si="7"/>
        <v>0</v>
      </c>
      <c r="P14" s="169">
        <f t="shared" si="7"/>
        <v>0</v>
      </c>
      <c r="Q14" s="15">
        <f t="shared" si="6"/>
        <v>3839302.45</v>
      </c>
      <c r="R14" s="23">
        <f t="shared" si="2"/>
        <v>54.05836712233741</v>
      </c>
      <c r="S14" s="169">
        <f t="shared" si="7"/>
        <v>4666.666666666666</v>
      </c>
      <c r="T14" s="170">
        <f t="shared" si="4"/>
        <v>319941.87083333335</v>
      </c>
      <c r="U14" s="169">
        <f>SUM(U15:U22)</f>
        <v>4666.666666666666</v>
      </c>
      <c r="V14" s="173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</row>
    <row r="15" spans="1:65" ht="24.75" customHeight="1">
      <c r="A15" s="131" t="s">
        <v>185</v>
      </c>
      <c r="B15" s="204"/>
      <c r="C15" s="126"/>
      <c r="D15" s="132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5">
        <f t="shared" si="6"/>
        <v>0</v>
      </c>
      <c r="R15" s="23" t="e">
        <f t="shared" si="2"/>
        <v>#DIV/0!</v>
      </c>
      <c r="S15" s="24">
        <f t="shared" si="3"/>
        <v>0</v>
      </c>
      <c r="T15" s="87">
        <f t="shared" si="4"/>
        <v>0</v>
      </c>
      <c r="U15" s="24">
        <f t="shared" si="5"/>
        <v>0</v>
      </c>
      <c r="V15" s="28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24.75" customHeight="1">
      <c r="A16" s="133" t="s">
        <v>186</v>
      </c>
      <c r="B16" s="204"/>
      <c r="C16" s="126">
        <v>6074184.83</v>
      </c>
      <c r="D16" s="200">
        <v>6394289.63</v>
      </c>
      <c r="E16" s="34">
        <v>3839302.45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5">
        <f t="shared" si="6"/>
        <v>3839302.45</v>
      </c>
      <c r="R16" s="23">
        <f t="shared" si="2"/>
        <v>60.04267357529753</v>
      </c>
      <c r="S16" s="24"/>
      <c r="T16" s="87">
        <f t="shared" si="4"/>
        <v>319941.87083333335</v>
      </c>
      <c r="U16" s="24"/>
      <c r="V16" s="28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ht="24.75" customHeight="1">
      <c r="A17" s="131" t="s">
        <v>187</v>
      </c>
      <c r="B17" s="204"/>
      <c r="C17" s="126"/>
      <c r="D17" s="134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5">
        <f t="shared" si="6"/>
        <v>0</v>
      </c>
      <c r="R17" s="23" t="e">
        <f>Q17*100/D17</f>
        <v>#DIV/0!</v>
      </c>
      <c r="S17" s="24">
        <f t="shared" si="3"/>
        <v>0</v>
      </c>
      <c r="T17" s="87">
        <f t="shared" si="4"/>
        <v>0</v>
      </c>
      <c r="U17" s="24">
        <f t="shared" si="5"/>
        <v>0</v>
      </c>
      <c r="V17" s="28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ht="24.75" customHeight="1">
      <c r="A18" s="131" t="s">
        <v>188</v>
      </c>
      <c r="B18" s="204">
        <v>5861854.83</v>
      </c>
      <c r="C18" s="126"/>
      <c r="D18" s="134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5">
        <f t="shared" si="6"/>
        <v>0</v>
      </c>
      <c r="R18" s="23" t="e">
        <f>Q18*100/D18</f>
        <v>#DIV/0!</v>
      </c>
      <c r="S18" s="24">
        <f t="shared" si="3"/>
        <v>0</v>
      </c>
      <c r="T18" s="87">
        <f t="shared" si="4"/>
        <v>0</v>
      </c>
      <c r="U18" s="24">
        <f t="shared" si="5"/>
        <v>0</v>
      </c>
      <c r="V18" s="28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ht="24.75" customHeight="1">
      <c r="A19" s="131" t="s">
        <v>189</v>
      </c>
      <c r="B19" s="204">
        <v>15000</v>
      </c>
      <c r="C19" s="126">
        <v>41000</v>
      </c>
      <c r="D19" s="134">
        <v>41000</v>
      </c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5">
        <f t="shared" si="6"/>
        <v>0</v>
      </c>
      <c r="R19" s="23">
        <f>Q19*100/D19</f>
        <v>0</v>
      </c>
      <c r="S19" s="24">
        <f t="shared" si="3"/>
        <v>3416.6666666666665</v>
      </c>
      <c r="T19" s="87">
        <f t="shared" si="4"/>
        <v>0</v>
      </c>
      <c r="U19" s="24">
        <f t="shared" si="5"/>
        <v>3416.6666666666665</v>
      </c>
      <c r="V19" s="28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65" ht="24.75" customHeight="1">
      <c r="A20" s="131" t="s">
        <v>190</v>
      </c>
      <c r="B20" s="204">
        <v>68650</v>
      </c>
      <c r="C20" s="126">
        <v>15000</v>
      </c>
      <c r="D20" s="134">
        <v>15000</v>
      </c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5">
        <f t="shared" si="6"/>
        <v>0</v>
      </c>
      <c r="R20" s="23">
        <f>Q20*100/D20</f>
        <v>0</v>
      </c>
      <c r="S20" s="24">
        <f t="shared" si="3"/>
        <v>1250</v>
      </c>
      <c r="T20" s="87">
        <f t="shared" si="4"/>
        <v>0</v>
      </c>
      <c r="U20" s="24">
        <f t="shared" si="5"/>
        <v>1250</v>
      </c>
      <c r="V20" s="28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ht="24.75" customHeight="1">
      <c r="A21" s="133" t="s">
        <v>191</v>
      </c>
      <c r="B21" s="204">
        <v>556029.81</v>
      </c>
      <c r="C21" s="126">
        <v>1112059.62</v>
      </c>
      <c r="D21" s="197">
        <v>651853.21</v>
      </c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5">
        <f t="shared" si="6"/>
        <v>0</v>
      </c>
      <c r="R21" s="23"/>
      <c r="S21" s="24"/>
      <c r="T21" s="87">
        <f t="shared" si="4"/>
        <v>0</v>
      </c>
      <c r="U21" s="24"/>
      <c r="V21" s="28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95" customFormat="1" ht="24.75" customHeight="1">
      <c r="A22" s="131" t="s">
        <v>192</v>
      </c>
      <c r="B22" s="204">
        <v>397543</v>
      </c>
      <c r="C22" s="126"/>
      <c r="D22" s="197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5">
        <f t="shared" si="6"/>
        <v>0</v>
      </c>
      <c r="R22" s="23"/>
      <c r="S22" s="24"/>
      <c r="T22" s="87">
        <f t="shared" si="4"/>
        <v>0</v>
      </c>
      <c r="U22" s="24"/>
      <c r="V22" s="28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</row>
    <row r="23" spans="1:65" s="175" customFormat="1" ht="24.75" customHeight="1">
      <c r="A23" s="178" t="s">
        <v>17</v>
      </c>
      <c r="B23" s="167">
        <v>1544384.98</v>
      </c>
      <c r="C23" s="179">
        <v>1041054.78</v>
      </c>
      <c r="D23" s="197">
        <v>1041054.78</v>
      </c>
      <c r="E23" s="169">
        <f>3920+2702+5472+19478.45+2940+19483.61</f>
        <v>53996.06</v>
      </c>
      <c r="F23" s="169">
        <f>32664.89+2576+8344+6899.8+11794.08+14336.3+8120+2172.38+15200+12908+13661.51</f>
        <v>128676.96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5">
        <f t="shared" si="6"/>
        <v>182673.02000000002</v>
      </c>
      <c r="R23" s="171">
        <f aca="true" t="shared" si="8" ref="R23:R36">Q23*100/D23</f>
        <v>17.546917175674462</v>
      </c>
      <c r="S23" s="172">
        <f t="shared" si="3"/>
        <v>86754.565</v>
      </c>
      <c r="T23" s="170">
        <f t="shared" si="4"/>
        <v>15222.751666666669</v>
      </c>
      <c r="U23" s="172">
        <f t="shared" si="5"/>
        <v>71531.81333333334</v>
      </c>
      <c r="V23" s="173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</row>
    <row r="24" spans="1:65" s="177" customFormat="1" ht="24.75" customHeight="1">
      <c r="A24" s="178" t="s">
        <v>18</v>
      </c>
      <c r="B24" s="167">
        <v>0</v>
      </c>
      <c r="C24" s="179">
        <v>3369436.81</v>
      </c>
      <c r="D24" s="197">
        <v>0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5">
        <f t="shared" si="6"/>
        <v>0</v>
      </c>
      <c r="R24" s="171" t="e">
        <f t="shared" si="8"/>
        <v>#DIV/0!</v>
      </c>
      <c r="S24" s="172">
        <f t="shared" si="3"/>
        <v>0</v>
      </c>
      <c r="T24" s="170">
        <f t="shared" si="4"/>
        <v>0</v>
      </c>
      <c r="U24" s="172">
        <f t="shared" si="5"/>
        <v>0</v>
      </c>
      <c r="V24" s="173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</row>
    <row r="25" spans="1:65" s="177" customFormat="1" ht="24.75" customHeight="1">
      <c r="A25" s="178" t="s">
        <v>19</v>
      </c>
      <c r="B25" s="167">
        <v>15660</v>
      </c>
      <c r="C25" s="179"/>
      <c r="D25" s="197">
        <v>100000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5">
        <f t="shared" si="6"/>
        <v>0</v>
      </c>
      <c r="R25" s="171">
        <f t="shared" si="8"/>
        <v>0</v>
      </c>
      <c r="S25" s="172">
        <f t="shared" si="3"/>
        <v>8333.333333333334</v>
      </c>
      <c r="T25" s="170">
        <f t="shared" si="4"/>
        <v>0</v>
      </c>
      <c r="U25" s="172">
        <f t="shared" si="5"/>
        <v>8333.333333333334</v>
      </c>
      <c r="V25" s="173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</row>
    <row r="26" spans="1:65" s="177" customFormat="1" ht="24.75" customHeight="1">
      <c r="A26" s="178" t="s">
        <v>20</v>
      </c>
      <c r="B26" s="167"/>
      <c r="C26" s="179"/>
      <c r="D26" s="197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5">
        <f t="shared" si="6"/>
        <v>0</v>
      </c>
      <c r="R26" s="171" t="e">
        <f t="shared" si="8"/>
        <v>#DIV/0!</v>
      </c>
      <c r="S26" s="172">
        <f t="shared" si="3"/>
        <v>0</v>
      </c>
      <c r="T26" s="170">
        <f t="shared" si="4"/>
        <v>0</v>
      </c>
      <c r="U26" s="172">
        <f t="shared" si="5"/>
        <v>0</v>
      </c>
      <c r="V26" s="173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</row>
    <row r="27" spans="1:65" s="177" customFormat="1" ht="24.75" customHeight="1">
      <c r="A27" s="178" t="s">
        <v>21</v>
      </c>
      <c r="B27" s="167">
        <v>565396.86</v>
      </c>
      <c r="C27" s="179">
        <v>316750.33</v>
      </c>
      <c r="D27" s="197">
        <v>316750.33</v>
      </c>
      <c r="E27" s="169">
        <v>71442.81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">
        <f t="shared" si="6"/>
        <v>71442.81</v>
      </c>
      <c r="R27" s="171">
        <f t="shared" si="8"/>
        <v>22.554928356349304</v>
      </c>
      <c r="S27" s="172">
        <f t="shared" si="3"/>
        <v>26395.860833333336</v>
      </c>
      <c r="T27" s="170">
        <f t="shared" si="4"/>
        <v>5953.5675</v>
      </c>
      <c r="U27" s="172">
        <f t="shared" si="5"/>
        <v>20442.293333333335</v>
      </c>
      <c r="V27" s="173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</row>
    <row r="28" spans="1:65" s="177" customFormat="1" ht="24.75" customHeight="1">
      <c r="A28" s="178" t="s">
        <v>22</v>
      </c>
      <c r="B28" s="167">
        <v>430000</v>
      </c>
      <c r="C28" s="179">
        <v>240582.48</v>
      </c>
      <c r="D28" s="197">
        <v>240582.48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5">
        <f t="shared" si="6"/>
        <v>0</v>
      </c>
      <c r="R28" s="171">
        <f t="shared" si="8"/>
        <v>0</v>
      </c>
      <c r="S28" s="172">
        <f t="shared" si="3"/>
        <v>20048.54</v>
      </c>
      <c r="T28" s="170">
        <f t="shared" si="4"/>
        <v>0</v>
      </c>
      <c r="U28" s="172">
        <f t="shared" si="5"/>
        <v>20048.54</v>
      </c>
      <c r="V28" s="173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</row>
    <row r="29" spans="1:65" s="177" customFormat="1" ht="24.75" customHeight="1">
      <c r="A29" s="178" t="s">
        <v>23</v>
      </c>
      <c r="B29" s="167"/>
      <c r="C29" s="179"/>
      <c r="D29" s="197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5">
        <f t="shared" si="6"/>
        <v>0</v>
      </c>
      <c r="R29" s="171" t="e">
        <f t="shared" si="8"/>
        <v>#DIV/0!</v>
      </c>
      <c r="S29" s="172">
        <f t="shared" si="3"/>
        <v>0</v>
      </c>
      <c r="T29" s="170">
        <f t="shared" si="4"/>
        <v>0</v>
      </c>
      <c r="U29" s="172">
        <f t="shared" si="5"/>
        <v>0</v>
      </c>
      <c r="V29" s="173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</row>
    <row r="30" spans="1:65" s="177" customFormat="1" ht="24.75" customHeight="1">
      <c r="A30" s="178" t="s">
        <v>24</v>
      </c>
      <c r="B30" s="167">
        <v>28014.39</v>
      </c>
      <c r="C30" s="179">
        <v>22281.52</v>
      </c>
      <c r="D30" s="197">
        <v>22281.52</v>
      </c>
      <c r="E30" s="169">
        <v>1934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5">
        <f t="shared" si="6"/>
        <v>1934</v>
      </c>
      <c r="R30" s="171">
        <f t="shared" si="8"/>
        <v>8.679838718363918</v>
      </c>
      <c r="S30" s="172">
        <f t="shared" si="3"/>
        <v>1856.7933333333333</v>
      </c>
      <c r="T30" s="170">
        <f t="shared" si="4"/>
        <v>161.16666666666666</v>
      </c>
      <c r="U30" s="172">
        <f t="shared" si="5"/>
        <v>1695.6266666666666</v>
      </c>
      <c r="V30" s="173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</row>
    <row r="31" spans="1:65" s="177" customFormat="1" ht="24.75" customHeight="1">
      <c r="A31" s="178" t="s">
        <v>25</v>
      </c>
      <c r="B31" s="167">
        <v>0</v>
      </c>
      <c r="C31" s="179"/>
      <c r="D31" s="197">
        <v>120000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5">
        <f t="shared" si="6"/>
        <v>0</v>
      </c>
      <c r="R31" s="171">
        <f t="shared" si="8"/>
        <v>0</v>
      </c>
      <c r="S31" s="172">
        <f t="shared" si="3"/>
        <v>10000</v>
      </c>
      <c r="T31" s="170">
        <f t="shared" si="4"/>
        <v>0</v>
      </c>
      <c r="U31" s="172">
        <f t="shared" si="5"/>
        <v>10000</v>
      </c>
      <c r="V31" s="173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</row>
    <row r="32" spans="1:65" s="177" customFormat="1" ht="24.75" customHeight="1">
      <c r="A32" s="178" t="s">
        <v>26</v>
      </c>
      <c r="B32" s="167">
        <v>730796</v>
      </c>
      <c r="C32" s="179">
        <v>815120</v>
      </c>
      <c r="D32" s="197">
        <v>815120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5">
        <f t="shared" si="6"/>
        <v>0</v>
      </c>
      <c r="R32" s="171">
        <f t="shared" si="8"/>
        <v>0</v>
      </c>
      <c r="S32" s="172">
        <f t="shared" si="3"/>
        <v>67926.66666666667</v>
      </c>
      <c r="T32" s="170">
        <f t="shared" si="4"/>
        <v>0</v>
      </c>
      <c r="U32" s="172">
        <f t="shared" si="5"/>
        <v>67926.66666666667</v>
      </c>
      <c r="V32" s="173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</row>
    <row r="33" spans="1:65" s="177" customFormat="1" ht="24.75" customHeight="1">
      <c r="A33" s="178" t="s">
        <v>27</v>
      </c>
      <c r="B33" s="167"/>
      <c r="C33" s="179"/>
      <c r="D33" s="197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5">
        <f t="shared" si="6"/>
        <v>0</v>
      </c>
      <c r="R33" s="171" t="e">
        <f t="shared" si="8"/>
        <v>#DIV/0!</v>
      </c>
      <c r="S33" s="172">
        <f t="shared" si="3"/>
        <v>0</v>
      </c>
      <c r="T33" s="170">
        <f t="shared" si="4"/>
        <v>0</v>
      </c>
      <c r="U33" s="172">
        <f t="shared" si="5"/>
        <v>0</v>
      </c>
      <c r="V33" s="173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</row>
    <row r="34" spans="1:65" s="177" customFormat="1" ht="24.75" customHeight="1">
      <c r="A34" s="178" t="s">
        <v>28</v>
      </c>
      <c r="B34" s="167"/>
      <c r="C34" s="179"/>
      <c r="D34" s="197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5">
        <f t="shared" si="6"/>
        <v>0</v>
      </c>
      <c r="R34" s="171" t="e">
        <f t="shared" si="8"/>
        <v>#DIV/0!</v>
      </c>
      <c r="S34" s="172">
        <f t="shared" si="3"/>
        <v>0</v>
      </c>
      <c r="T34" s="170">
        <f t="shared" si="4"/>
        <v>0</v>
      </c>
      <c r="U34" s="172">
        <f t="shared" si="5"/>
        <v>0</v>
      </c>
      <c r="V34" s="173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</row>
    <row r="35" spans="1:65" s="177" customFormat="1" ht="24.75" customHeight="1">
      <c r="A35" s="178" t="s">
        <v>176</v>
      </c>
      <c r="B35" s="167"/>
      <c r="C35" s="179"/>
      <c r="D35" s="197"/>
      <c r="E35" s="169">
        <v>311880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5">
        <f t="shared" si="6"/>
        <v>311880</v>
      </c>
      <c r="R35" s="171" t="e">
        <f>Q35*100/D35</f>
        <v>#DIV/0!</v>
      </c>
      <c r="S35" s="172">
        <f t="shared" si="3"/>
        <v>0</v>
      </c>
      <c r="T35" s="170">
        <f t="shared" si="4"/>
        <v>25990</v>
      </c>
      <c r="U35" s="172">
        <f t="shared" si="5"/>
        <v>-25990</v>
      </c>
      <c r="V35" s="173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</row>
    <row r="36" spans="1:65" s="177" customFormat="1" ht="24.75" customHeight="1">
      <c r="A36" s="178" t="s">
        <v>175</v>
      </c>
      <c r="B36" s="167">
        <v>1960570.91</v>
      </c>
      <c r="C36" s="179">
        <v>1960570.91</v>
      </c>
      <c r="D36" s="201">
        <v>1960570.91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5">
        <f t="shared" si="6"/>
        <v>0</v>
      </c>
      <c r="R36" s="171">
        <f t="shared" si="8"/>
        <v>0</v>
      </c>
      <c r="S36" s="172">
        <f>D36/12</f>
        <v>163380.90916666665</v>
      </c>
      <c r="T36" s="170">
        <f t="shared" si="4"/>
        <v>0</v>
      </c>
      <c r="U36" s="172">
        <f>S36-T36</f>
        <v>163380.90916666665</v>
      </c>
      <c r="V36" s="173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</row>
    <row r="37" spans="1:65" s="177" customFormat="1" ht="24.75" customHeight="1">
      <c r="A37" s="178" t="s">
        <v>197</v>
      </c>
      <c r="B37" s="167"/>
      <c r="C37" s="179">
        <v>100000</v>
      </c>
      <c r="D37" s="197">
        <v>100000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5">
        <f t="shared" si="6"/>
        <v>0</v>
      </c>
      <c r="R37" s="171"/>
      <c r="S37" s="172"/>
      <c r="T37" s="170">
        <f t="shared" si="4"/>
        <v>0</v>
      </c>
      <c r="U37" s="172"/>
      <c r="V37" s="173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</row>
    <row r="38" spans="1:65" s="177" customFormat="1" ht="24.75" customHeight="1">
      <c r="A38" s="178" t="s">
        <v>198</v>
      </c>
      <c r="B38" s="178"/>
      <c r="C38" s="179">
        <v>1614107.14</v>
      </c>
      <c r="D38" s="197">
        <v>1614107.14</v>
      </c>
      <c r="E38" s="169">
        <v>20893</v>
      </c>
      <c r="F38" s="169">
        <v>122629.54</v>
      </c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5">
        <f t="shared" si="6"/>
        <v>143522.53999999998</v>
      </c>
      <c r="R38" s="171">
        <f aca="true" t="shared" si="9" ref="R38:R101">Q38*100/D38</f>
        <v>8.891760431714587</v>
      </c>
      <c r="S38" s="172">
        <f>D38/12</f>
        <v>134508.92833333332</v>
      </c>
      <c r="T38" s="170">
        <f t="shared" si="4"/>
        <v>11960.211666666664</v>
      </c>
      <c r="U38" s="172">
        <f>S38-T38</f>
        <v>122548.71666666665</v>
      </c>
      <c r="V38" s="173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</row>
    <row r="39" spans="1:65" s="177" customFormat="1" ht="24.75" customHeight="1">
      <c r="A39" s="166" t="s">
        <v>199</v>
      </c>
      <c r="B39" s="181">
        <f>SUM(B40:B42)</f>
        <v>2511645</v>
      </c>
      <c r="C39" s="182">
        <f>SUM(C40:C42)</f>
        <v>2562018</v>
      </c>
      <c r="D39" s="202">
        <f aca="true" t="shared" si="10" ref="D39:P39">SUM(D40:D42)</f>
        <v>1502258</v>
      </c>
      <c r="E39" s="183">
        <f t="shared" si="10"/>
        <v>307510</v>
      </c>
      <c r="F39" s="183">
        <f t="shared" si="10"/>
        <v>325349</v>
      </c>
      <c r="G39" s="183">
        <f t="shared" si="10"/>
        <v>0</v>
      </c>
      <c r="H39" s="183">
        <f t="shared" si="10"/>
        <v>0</v>
      </c>
      <c r="I39" s="183">
        <f t="shared" si="10"/>
        <v>0</v>
      </c>
      <c r="J39" s="183">
        <f t="shared" si="10"/>
        <v>0</v>
      </c>
      <c r="K39" s="183">
        <f t="shared" si="10"/>
        <v>0</v>
      </c>
      <c r="L39" s="183">
        <f t="shared" si="10"/>
        <v>0</v>
      </c>
      <c r="M39" s="183">
        <f t="shared" si="10"/>
        <v>0</v>
      </c>
      <c r="N39" s="183">
        <f t="shared" si="10"/>
        <v>0</v>
      </c>
      <c r="O39" s="183">
        <f t="shared" si="10"/>
        <v>0</v>
      </c>
      <c r="P39" s="183">
        <f t="shared" si="10"/>
        <v>0</v>
      </c>
      <c r="Q39" s="15">
        <f t="shared" si="6"/>
        <v>632859</v>
      </c>
      <c r="R39" s="171">
        <f t="shared" si="9"/>
        <v>42.12718454486513</v>
      </c>
      <c r="S39" s="172">
        <f t="shared" si="3"/>
        <v>125188.16666666667</v>
      </c>
      <c r="T39" s="170">
        <f t="shared" si="4"/>
        <v>52738.25</v>
      </c>
      <c r="U39" s="172">
        <f t="shared" si="5"/>
        <v>72449.91666666667</v>
      </c>
      <c r="V39" s="184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</row>
    <row r="40" spans="1:65" s="93" customFormat="1" ht="24.75" customHeight="1">
      <c r="A40" s="135" t="s">
        <v>29</v>
      </c>
      <c r="B40" s="205">
        <v>2505575</v>
      </c>
      <c r="C40" s="136">
        <v>2546680</v>
      </c>
      <c r="D40" s="164">
        <v>1486920</v>
      </c>
      <c r="E40" s="35">
        <v>307510</v>
      </c>
      <c r="F40" s="36">
        <v>324692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15">
        <f t="shared" si="6"/>
        <v>632202</v>
      </c>
      <c r="R40" s="23">
        <f t="shared" si="9"/>
        <v>42.5175530627068</v>
      </c>
      <c r="S40" s="24">
        <f t="shared" si="3"/>
        <v>123910</v>
      </c>
      <c r="T40" s="87">
        <f t="shared" si="4"/>
        <v>52683.5</v>
      </c>
      <c r="U40" s="24">
        <f t="shared" si="5"/>
        <v>71226.5</v>
      </c>
      <c r="V40" s="37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</row>
    <row r="41" spans="1:65" s="99" customFormat="1" ht="24.75" customHeight="1">
      <c r="A41" s="135" t="s">
        <v>30</v>
      </c>
      <c r="B41" s="205"/>
      <c r="C41" s="136"/>
      <c r="D41" s="137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15">
        <f t="shared" si="6"/>
        <v>0</v>
      </c>
      <c r="R41" s="23" t="e">
        <f t="shared" si="9"/>
        <v>#DIV/0!</v>
      </c>
      <c r="S41" s="24">
        <f t="shared" si="3"/>
        <v>0</v>
      </c>
      <c r="T41" s="87">
        <f t="shared" si="4"/>
        <v>0</v>
      </c>
      <c r="U41" s="24">
        <f t="shared" si="5"/>
        <v>0</v>
      </c>
      <c r="V41" s="37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s="77" customFormat="1" ht="24.75" customHeight="1">
      <c r="A42" s="135" t="s">
        <v>31</v>
      </c>
      <c r="B42" s="206">
        <v>6070</v>
      </c>
      <c r="C42" s="138">
        <v>15338</v>
      </c>
      <c r="D42" s="134">
        <v>15338</v>
      </c>
      <c r="E42" s="21"/>
      <c r="F42" s="22">
        <v>657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5">
        <f t="shared" si="6"/>
        <v>657</v>
      </c>
      <c r="R42" s="23">
        <f t="shared" si="9"/>
        <v>4.283478941191811</v>
      </c>
      <c r="S42" s="24">
        <f t="shared" si="3"/>
        <v>1278.1666666666667</v>
      </c>
      <c r="T42" s="87">
        <f t="shared" si="4"/>
        <v>54.75</v>
      </c>
      <c r="U42" s="24">
        <f t="shared" si="5"/>
        <v>1223.4166666666667</v>
      </c>
      <c r="V42" s="28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s="177" customFormat="1" ht="24.75" customHeight="1">
      <c r="A43" s="166" t="s">
        <v>32</v>
      </c>
      <c r="B43" s="167">
        <v>4401925.32</v>
      </c>
      <c r="C43" s="185">
        <v>4199106</v>
      </c>
      <c r="D43" s="200">
        <f>4199106-11497</f>
        <v>4187609</v>
      </c>
      <c r="E43" s="186">
        <f>318211+73120</f>
        <v>391331</v>
      </c>
      <c r="F43" s="186">
        <f>338306+222769</f>
        <v>561075</v>
      </c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5">
        <f t="shared" si="6"/>
        <v>952406</v>
      </c>
      <c r="R43" s="171">
        <f t="shared" si="9"/>
        <v>22.743431872459915</v>
      </c>
      <c r="S43" s="172">
        <f t="shared" si="3"/>
        <v>348967.4166666667</v>
      </c>
      <c r="T43" s="170">
        <f t="shared" si="4"/>
        <v>79367.16666666667</v>
      </c>
      <c r="U43" s="172">
        <f t="shared" si="5"/>
        <v>269600.25</v>
      </c>
      <c r="V43" s="187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</row>
    <row r="44" spans="1:122" s="177" customFormat="1" ht="23.25">
      <c r="A44" s="166" t="s">
        <v>116</v>
      </c>
      <c r="B44" s="167">
        <v>689399.09</v>
      </c>
      <c r="C44" s="185"/>
      <c r="D44" s="200">
        <v>11497</v>
      </c>
      <c r="E44" s="186">
        <f>8953+10482</f>
        <v>19435</v>
      </c>
      <c r="F44" s="186">
        <v>10158</v>
      </c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5">
        <f t="shared" si="6"/>
        <v>29593</v>
      </c>
      <c r="R44" s="171">
        <f t="shared" si="9"/>
        <v>257.3975819779073</v>
      </c>
      <c r="S44" s="172">
        <f>D44/12</f>
        <v>958.0833333333334</v>
      </c>
      <c r="T44" s="170">
        <f t="shared" si="4"/>
        <v>2466.0833333333335</v>
      </c>
      <c r="U44" s="172">
        <f>S44-T44</f>
        <v>-1508</v>
      </c>
      <c r="V44" s="187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</row>
    <row r="45" spans="1:65" s="177" customFormat="1" ht="24.75" customHeight="1">
      <c r="A45" s="166" t="s">
        <v>117</v>
      </c>
      <c r="B45" s="167">
        <v>6343</v>
      </c>
      <c r="C45" s="185">
        <v>684350</v>
      </c>
      <c r="D45" s="200">
        <v>684350</v>
      </c>
      <c r="E45" s="186">
        <f>44642+34279</f>
        <v>78921</v>
      </c>
      <c r="F45" s="186">
        <f>40938+5471</f>
        <v>46409</v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5">
        <f t="shared" si="6"/>
        <v>125330</v>
      </c>
      <c r="R45" s="171">
        <f t="shared" si="9"/>
        <v>18.313728355373712</v>
      </c>
      <c r="S45" s="172">
        <f>D45/12</f>
        <v>57029.166666666664</v>
      </c>
      <c r="T45" s="170">
        <f t="shared" si="4"/>
        <v>10444.166666666666</v>
      </c>
      <c r="U45" s="172">
        <f>S45-T45</f>
        <v>46585</v>
      </c>
      <c r="V45" s="187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</row>
    <row r="46" spans="1:65" s="177" customFormat="1" ht="24.75" customHeight="1">
      <c r="A46" s="166" t="s">
        <v>118</v>
      </c>
      <c r="B46" s="167">
        <v>870158.14</v>
      </c>
      <c r="C46" s="185">
        <v>5971</v>
      </c>
      <c r="D46" s="200">
        <v>5971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5">
        <f t="shared" si="6"/>
        <v>0</v>
      </c>
      <c r="R46" s="171">
        <f t="shared" si="9"/>
        <v>0</v>
      </c>
      <c r="S46" s="172">
        <f>D46/12</f>
        <v>497.5833333333333</v>
      </c>
      <c r="T46" s="170">
        <f t="shared" si="4"/>
        <v>0</v>
      </c>
      <c r="U46" s="172">
        <f>S46-T46</f>
        <v>497.5833333333333</v>
      </c>
      <c r="V46" s="187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</row>
    <row r="47" spans="1:65" s="177" customFormat="1" ht="24.75" customHeight="1">
      <c r="A47" s="166" t="s">
        <v>119</v>
      </c>
      <c r="B47" s="167">
        <v>268696</v>
      </c>
      <c r="C47" s="185">
        <v>1107355</v>
      </c>
      <c r="D47" s="200">
        <v>1107355</v>
      </c>
      <c r="E47" s="186">
        <f>74199+21726+8289+2182+7492+11118</f>
        <v>125006</v>
      </c>
      <c r="F47" s="186">
        <f>61389+9377+15837+9313+5382</f>
        <v>101298</v>
      </c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5">
        <f t="shared" si="6"/>
        <v>226304</v>
      </c>
      <c r="R47" s="171">
        <f t="shared" si="9"/>
        <v>20.436445403687163</v>
      </c>
      <c r="S47" s="172">
        <f t="shared" si="3"/>
        <v>92279.58333333333</v>
      </c>
      <c r="T47" s="170">
        <f t="shared" si="4"/>
        <v>18858.666666666668</v>
      </c>
      <c r="U47" s="172">
        <f t="shared" si="5"/>
        <v>73420.91666666666</v>
      </c>
      <c r="V47" s="187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</row>
    <row r="48" spans="1:65" s="177" customFormat="1" ht="24.75" customHeight="1">
      <c r="A48" s="166" t="s">
        <v>120</v>
      </c>
      <c r="B48" s="167">
        <v>41457</v>
      </c>
      <c r="C48" s="185">
        <v>431495</v>
      </c>
      <c r="D48" s="200">
        <v>431495</v>
      </c>
      <c r="E48" s="186">
        <f>18881+11439</f>
        <v>30320</v>
      </c>
      <c r="F48" s="186">
        <f>41601+5586</f>
        <v>47187</v>
      </c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5">
        <f t="shared" si="6"/>
        <v>77507</v>
      </c>
      <c r="R48" s="171">
        <f t="shared" si="9"/>
        <v>17.962432936650483</v>
      </c>
      <c r="S48" s="172">
        <f t="shared" si="3"/>
        <v>35957.916666666664</v>
      </c>
      <c r="T48" s="170">
        <f t="shared" si="4"/>
        <v>6458.916666666667</v>
      </c>
      <c r="U48" s="172">
        <f t="shared" si="5"/>
        <v>29498.999999999996</v>
      </c>
      <c r="V48" s="187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</row>
    <row r="49" spans="1:65" s="177" customFormat="1" ht="24.75" customHeight="1">
      <c r="A49" s="166" t="s">
        <v>121</v>
      </c>
      <c r="B49" s="167">
        <v>5590</v>
      </c>
      <c r="C49" s="185">
        <v>4394</v>
      </c>
      <c r="D49" s="200">
        <v>4394</v>
      </c>
      <c r="E49" s="186"/>
      <c r="F49" s="186">
        <v>76</v>
      </c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5">
        <f t="shared" si="6"/>
        <v>76</v>
      </c>
      <c r="R49" s="171">
        <f t="shared" si="9"/>
        <v>1.729631315430132</v>
      </c>
      <c r="S49" s="172">
        <f t="shared" si="3"/>
        <v>366.1666666666667</v>
      </c>
      <c r="T49" s="170">
        <f t="shared" si="4"/>
        <v>6.333333333333333</v>
      </c>
      <c r="U49" s="172">
        <f t="shared" si="5"/>
        <v>359.83333333333337</v>
      </c>
      <c r="V49" s="187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</row>
    <row r="50" spans="1:65" s="177" customFormat="1" ht="24.75" customHeight="1">
      <c r="A50" s="166" t="s">
        <v>122</v>
      </c>
      <c r="B50" s="167"/>
      <c r="C50" s="168"/>
      <c r="D50" s="197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5">
        <f t="shared" si="6"/>
        <v>0</v>
      </c>
      <c r="R50" s="171" t="e">
        <f t="shared" si="9"/>
        <v>#DIV/0!</v>
      </c>
      <c r="S50" s="172">
        <f t="shared" si="3"/>
        <v>0</v>
      </c>
      <c r="T50" s="170">
        <f t="shared" si="4"/>
        <v>0</v>
      </c>
      <c r="U50" s="172">
        <f t="shared" si="5"/>
        <v>0</v>
      </c>
      <c r="V50" s="173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</row>
    <row r="51" spans="1:65" s="177" customFormat="1" ht="24.75" customHeight="1">
      <c r="A51" s="166" t="s">
        <v>123</v>
      </c>
      <c r="B51" s="167">
        <v>1598646</v>
      </c>
      <c r="C51" s="168">
        <v>2079016.82</v>
      </c>
      <c r="D51" s="197">
        <v>2079016.82</v>
      </c>
      <c r="E51" s="169">
        <f>105855+67414</f>
        <v>173269</v>
      </c>
      <c r="F51" s="169">
        <f>175387+44801-11005-1720</f>
        <v>207463</v>
      </c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5">
        <f t="shared" si="6"/>
        <v>380732</v>
      </c>
      <c r="R51" s="171">
        <f t="shared" si="9"/>
        <v>18.313079352575897</v>
      </c>
      <c r="S51" s="172">
        <f t="shared" si="3"/>
        <v>173251.40166666667</v>
      </c>
      <c r="T51" s="170">
        <f t="shared" si="4"/>
        <v>31727.666666666668</v>
      </c>
      <c r="U51" s="172">
        <f t="shared" si="5"/>
        <v>141523.73500000002</v>
      </c>
      <c r="V51" s="173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</row>
    <row r="52" spans="1:65" s="177" customFormat="1" ht="24.75" customHeight="1">
      <c r="A52" s="166" t="s">
        <v>124</v>
      </c>
      <c r="B52" s="166"/>
      <c r="C52" s="168"/>
      <c r="D52" s="197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5">
        <f t="shared" si="6"/>
        <v>0</v>
      </c>
      <c r="R52" s="171" t="e">
        <f t="shared" si="9"/>
        <v>#DIV/0!</v>
      </c>
      <c r="S52" s="172">
        <f t="shared" si="3"/>
        <v>0</v>
      </c>
      <c r="T52" s="170">
        <f t="shared" si="4"/>
        <v>0</v>
      </c>
      <c r="U52" s="172">
        <f t="shared" si="5"/>
        <v>0</v>
      </c>
      <c r="V52" s="173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</row>
    <row r="53" spans="1:65" s="177" customFormat="1" ht="24.75" customHeight="1">
      <c r="A53" s="166" t="s">
        <v>125</v>
      </c>
      <c r="B53" s="189">
        <f>SUM(B54:B73)</f>
        <v>2620268.6799999997</v>
      </c>
      <c r="C53" s="190">
        <f>SUM(C54:C73)</f>
        <v>2231346.95</v>
      </c>
      <c r="D53" s="198">
        <f>SUM(D54:D73)</f>
        <v>2231346.95</v>
      </c>
      <c r="E53" s="191">
        <f aca="true" t="shared" si="11" ref="E53:P53">SUM(E54:E73)</f>
        <v>119009</v>
      </c>
      <c r="F53" s="191">
        <f t="shared" si="11"/>
        <v>82810</v>
      </c>
      <c r="G53" s="191">
        <f t="shared" si="11"/>
        <v>0</v>
      </c>
      <c r="H53" s="191">
        <f t="shared" si="11"/>
        <v>0</v>
      </c>
      <c r="I53" s="191">
        <f t="shared" si="11"/>
        <v>0</v>
      </c>
      <c r="J53" s="191">
        <f t="shared" si="11"/>
        <v>0</v>
      </c>
      <c r="K53" s="191">
        <f t="shared" si="11"/>
        <v>0</v>
      </c>
      <c r="L53" s="191">
        <f t="shared" si="11"/>
        <v>0</v>
      </c>
      <c r="M53" s="191">
        <f t="shared" si="11"/>
        <v>0</v>
      </c>
      <c r="N53" s="191">
        <f t="shared" si="11"/>
        <v>0</v>
      </c>
      <c r="O53" s="191">
        <f t="shared" si="11"/>
        <v>0</v>
      </c>
      <c r="P53" s="191">
        <f t="shared" si="11"/>
        <v>0</v>
      </c>
      <c r="Q53" s="15">
        <f t="shared" si="6"/>
        <v>201819</v>
      </c>
      <c r="R53" s="171">
        <f t="shared" si="9"/>
        <v>9.044716241909398</v>
      </c>
      <c r="S53" s="172">
        <f t="shared" si="3"/>
        <v>185945.5791666667</v>
      </c>
      <c r="T53" s="170">
        <f t="shared" si="4"/>
        <v>16818.25</v>
      </c>
      <c r="U53" s="172">
        <f t="shared" si="5"/>
        <v>169127.3291666667</v>
      </c>
      <c r="V53" s="192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</row>
    <row r="54" spans="1:65" ht="24.75" customHeight="1">
      <c r="A54" s="140" t="s">
        <v>126</v>
      </c>
      <c r="B54" s="206">
        <v>114085.68</v>
      </c>
      <c r="C54" s="141">
        <v>60236.95</v>
      </c>
      <c r="D54" s="134">
        <v>60236.95</v>
      </c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5">
        <f t="shared" si="6"/>
        <v>0</v>
      </c>
      <c r="R54" s="171">
        <f t="shared" si="9"/>
        <v>0</v>
      </c>
      <c r="S54" s="24">
        <f t="shared" si="3"/>
        <v>5019.745833333333</v>
      </c>
      <c r="T54" s="87">
        <f t="shared" si="4"/>
        <v>0</v>
      </c>
      <c r="U54" s="24">
        <f t="shared" si="5"/>
        <v>5019.745833333333</v>
      </c>
      <c r="V54" s="28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1:65" ht="24.75" customHeight="1">
      <c r="A55" s="142" t="s">
        <v>183</v>
      </c>
      <c r="B55" s="206">
        <v>500000</v>
      </c>
      <c r="C55" s="141">
        <f>106073</f>
        <v>106073</v>
      </c>
      <c r="D55" s="134">
        <v>106073</v>
      </c>
      <c r="E55" s="21">
        <v>4192</v>
      </c>
      <c r="F55" s="22">
        <v>14150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5">
        <f t="shared" si="6"/>
        <v>18342</v>
      </c>
      <c r="R55" s="171">
        <f t="shared" si="9"/>
        <v>17.291865036342895</v>
      </c>
      <c r="S55" s="24">
        <f t="shared" si="3"/>
        <v>8839.416666666666</v>
      </c>
      <c r="T55" s="87">
        <f t="shared" si="4"/>
        <v>1528.5</v>
      </c>
      <c r="U55" s="24">
        <f t="shared" si="5"/>
        <v>7310.916666666666</v>
      </c>
      <c r="V55" s="39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1:65" ht="24.75" customHeight="1">
      <c r="A56" s="142" t="s">
        <v>127</v>
      </c>
      <c r="B56" s="206">
        <v>378217</v>
      </c>
      <c r="C56" s="138">
        <v>359967</v>
      </c>
      <c r="D56" s="134">
        <v>359967</v>
      </c>
      <c r="E56" s="21">
        <v>35387</v>
      </c>
      <c r="F56" s="22">
        <v>32170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5">
        <f t="shared" si="6"/>
        <v>67557</v>
      </c>
      <c r="R56" s="171">
        <f t="shared" si="9"/>
        <v>18.767553692421806</v>
      </c>
      <c r="S56" s="24">
        <f t="shared" si="3"/>
        <v>29997.25</v>
      </c>
      <c r="T56" s="87">
        <f t="shared" si="4"/>
        <v>5629.75</v>
      </c>
      <c r="U56" s="24">
        <f t="shared" si="5"/>
        <v>24367.5</v>
      </c>
      <c r="V56" s="2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</row>
    <row r="57" spans="1:65" ht="24.75" customHeight="1">
      <c r="A57" s="135" t="s">
        <v>128</v>
      </c>
      <c r="B57" s="206"/>
      <c r="C57" s="141"/>
      <c r="D57" s="134"/>
      <c r="E57" s="38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5">
        <f t="shared" si="6"/>
        <v>0</v>
      </c>
      <c r="R57" s="171" t="e">
        <f t="shared" si="9"/>
        <v>#DIV/0!</v>
      </c>
      <c r="S57" s="24">
        <f t="shared" si="3"/>
        <v>0</v>
      </c>
      <c r="T57" s="87">
        <f t="shared" si="4"/>
        <v>0</v>
      </c>
      <c r="U57" s="24">
        <f t="shared" si="5"/>
        <v>0</v>
      </c>
      <c r="V57" s="28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</row>
    <row r="58" spans="1:65" ht="24.75" customHeight="1">
      <c r="A58" s="142" t="s">
        <v>129</v>
      </c>
      <c r="B58" s="206"/>
      <c r="C58" s="141"/>
      <c r="D58" s="134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5">
        <f t="shared" si="6"/>
        <v>0</v>
      </c>
      <c r="R58" s="171" t="e">
        <f t="shared" si="9"/>
        <v>#DIV/0!</v>
      </c>
      <c r="S58" s="24">
        <f t="shared" si="3"/>
        <v>0</v>
      </c>
      <c r="T58" s="87">
        <f t="shared" si="4"/>
        <v>0</v>
      </c>
      <c r="U58" s="24">
        <f t="shared" si="5"/>
        <v>0</v>
      </c>
      <c r="V58" s="28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</row>
    <row r="59" spans="1:65" ht="24.75" customHeight="1">
      <c r="A59" s="142" t="s">
        <v>130</v>
      </c>
      <c r="B59" s="206"/>
      <c r="C59" s="141"/>
      <c r="D59" s="134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15">
        <f t="shared" si="6"/>
        <v>0</v>
      </c>
      <c r="R59" s="171" t="e">
        <f t="shared" si="9"/>
        <v>#DIV/0!</v>
      </c>
      <c r="S59" s="24">
        <f t="shared" si="3"/>
        <v>0</v>
      </c>
      <c r="T59" s="87">
        <f t="shared" si="4"/>
        <v>0</v>
      </c>
      <c r="U59" s="24">
        <f t="shared" si="5"/>
        <v>0</v>
      </c>
      <c r="V59" s="28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</row>
    <row r="60" spans="1:65" ht="24.75" customHeight="1">
      <c r="A60" s="142" t="s">
        <v>131</v>
      </c>
      <c r="B60" s="206">
        <v>0</v>
      </c>
      <c r="C60" s="141"/>
      <c r="D60" s="134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5">
        <f t="shared" si="6"/>
        <v>0</v>
      </c>
      <c r="R60" s="171" t="e">
        <f t="shared" si="9"/>
        <v>#DIV/0!</v>
      </c>
      <c r="S60" s="24">
        <f t="shared" si="3"/>
        <v>0</v>
      </c>
      <c r="T60" s="87">
        <f t="shared" si="4"/>
        <v>0</v>
      </c>
      <c r="U60" s="24">
        <f t="shared" si="5"/>
        <v>0</v>
      </c>
      <c r="V60" s="28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</row>
    <row r="61" spans="1:65" ht="24.75" customHeight="1">
      <c r="A61" s="142" t="s">
        <v>132</v>
      </c>
      <c r="B61" s="206">
        <v>117950</v>
      </c>
      <c r="C61" s="141">
        <v>249400</v>
      </c>
      <c r="D61" s="134">
        <v>249400</v>
      </c>
      <c r="E61" s="21">
        <v>57500</v>
      </c>
      <c r="F61" s="22">
        <v>21450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15">
        <f t="shared" si="6"/>
        <v>78950</v>
      </c>
      <c r="R61" s="171">
        <f t="shared" si="9"/>
        <v>31.65597433841219</v>
      </c>
      <c r="S61" s="24">
        <f t="shared" si="3"/>
        <v>20783.333333333332</v>
      </c>
      <c r="T61" s="87">
        <f t="shared" si="4"/>
        <v>6579.166666666667</v>
      </c>
      <c r="U61" s="24">
        <f t="shared" si="5"/>
        <v>14204.166666666664</v>
      </c>
      <c r="V61" s="28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</row>
    <row r="62" spans="1:65" ht="24.75" customHeight="1">
      <c r="A62" s="143" t="s">
        <v>133</v>
      </c>
      <c r="B62" s="206">
        <v>1226000</v>
      </c>
      <c r="C62" s="138">
        <v>1190240</v>
      </c>
      <c r="D62" s="134">
        <v>1190240</v>
      </c>
      <c r="E62" s="374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15">
        <f t="shared" si="6"/>
        <v>0</v>
      </c>
      <c r="R62" s="171">
        <f t="shared" si="9"/>
        <v>0</v>
      </c>
      <c r="S62" s="24">
        <f t="shared" si="3"/>
        <v>99186.66666666667</v>
      </c>
      <c r="T62" s="87">
        <f t="shared" si="4"/>
        <v>0</v>
      </c>
      <c r="U62" s="24">
        <f t="shared" si="5"/>
        <v>99186.66666666667</v>
      </c>
      <c r="V62" s="28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</row>
    <row r="63" spans="1:65" ht="24.75" customHeight="1">
      <c r="A63" s="144" t="s">
        <v>134</v>
      </c>
      <c r="B63" s="206">
        <v>0</v>
      </c>
      <c r="C63" s="138"/>
      <c r="D63" s="134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5">
        <f t="shared" si="6"/>
        <v>0</v>
      </c>
      <c r="R63" s="171" t="e">
        <f t="shared" si="9"/>
        <v>#DIV/0!</v>
      </c>
      <c r="S63" s="24">
        <f t="shared" si="3"/>
        <v>0</v>
      </c>
      <c r="T63" s="87">
        <f t="shared" si="4"/>
        <v>0</v>
      </c>
      <c r="U63" s="24">
        <f t="shared" si="5"/>
        <v>0</v>
      </c>
      <c r="V63" s="28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</row>
    <row r="64" spans="1:65" s="95" customFormat="1" ht="24.75" customHeight="1">
      <c r="A64" s="142" t="s">
        <v>135</v>
      </c>
      <c r="B64" s="206">
        <v>3346</v>
      </c>
      <c r="C64" s="138"/>
      <c r="D64" s="134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15">
        <f t="shared" si="6"/>
        <v>0</v>
      </c>
      <c r="R64" s="171" t="e">
        <f t="shared" si="9"/>
        <v>#DIV/0!</v>
      </c>
      <c r="S64" s="24">
        <f t="shared" si="3"/>
        <v>0</v>
      </c>
      <c r="T64" s="87">
        <f t="shared" si="4"/>
        <v>0</v>
      </c>
      <c r="U64" s="24">
        <f t="shared" si="5"/>
        <v>0</v>
      </c>
      <c r="V64" s="28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</row>
    <row r="65" spans="1:65" ht="24.75" customHeight="1">
      <c r="A65" s="142" t="s">
        <v>136</v>
      </c>
      <c r="B65" s="206">
        <v>6200</v>
      </c>
      <c r="C65" s="138">
        <v>4200</v>
      </c>
      <c r="D65" s="134">
        <v>4200</v>
      </c>
      <c r="E65" s="21">
        <v>1800</v>
      </c>
      <c r="F65" s="22">
        <v>300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15">
        <f t="shared" si="6"/>
        <v>2100</v>
      </c>
      <c r="R65" s="171">
        <f t="shared" si="9"/>
        <v>50</v>
      </c>
      <c r="S65" s="24">
        <f t="shared" si="3"/>
        <v>350</v>
      </c>
      <c r="T65" s="87">
        <f t="shared" si="4"/>
        <v>175</v>
      </c>
      <c r="U65" s="24">
        <f t="shared" si="5"/>
        <v>175</v>
      </c>
      <c r="V65" s="28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</row>
    <row r="66" spans="1:65" ht="24.75" customHeight="1">
      <c r="A66" s="142" t="s">
        <v>137</v>
      </c>
      <c r="B66" s="206">
        <v>262560</v>
      </c>
      <c r="C66" s="138">
        <v>244630</v>
      </c>
      <c r="D66" s="134">
        <v>244630</v>
      </c>
      <c r="E66" s="21">
        <v>18130</v>
      </c>
      <c r="F66" s="22">
        <v>12940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15">
        <f t="shared" si="6"/>
        <v>31070</v>
      </c>
      <c r="R66" s="171">
        <f t="shared" si="9"/>
        <v>12.700813473408822</v>
      </c>
      <c r="S66" s="24">
        <f t="shared" si="3"/>
        <v>20385.833333333332</v>
      </c>
      <c r="T66" s="87">
        <f t="shared" si="4"/>
        <v>2589.1666666666665</v>
      </c>
      <c r="U66" s="24">
        <f t="shared" si="5"/>
        <v>17796.666666666664</v>
      </c>
      <c r="V66" s="28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</row>
    <row r="67" spans="1:65" ht="24.75" customHeight="1">
      <c r="A67" s="142" t="s">
        <v>138</v>
      </c>
      <c r="B67" s="206">
        <v>0</v>
      </c>
      <c r="C67" s="141"/>
      <c r="D67" s="134"/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5">
        <f t="shared" si="6"/>
        <v>0</v>
      </c>
      <c r="R67" s="171" t="e">
        <f t="shared" si="9"/>
        <v>#DIV/0!</v>
      </c>
      <c r="S67" s="24">
        <f t="shared" si="3"/>
        <v>0</v>
      </c>
      <c r="T67" s="87">
        <f t="shared" si="4"/>
        <v>0</v>
      </c>
      <c r="U67" s="24">
        <f t="shared" si="5"/>
        <v>0</v>
      </c>
      <c r="V67" s="28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</row>
    <row r="68" spans="1:65" ht="24.75" customHeight="1">
      <c r="A68" s="142" t="s">
        <v>139</v>
      </c>
      <c r="B68" s="206">
        <v>0</v>
      </c>
      <c r="C68" s="141"/>
      <c r="D68" s="134"/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5">
        <f t="shared" si="6"/>
        <v>0</v>
      </c>
      <c r="R68" s="171" t="e">
        <f t="shared" si="9"/>
        <v>#DIV/0!</v>
      </c>
      <c r="S68" s="24">
        <f t="shared" si="3"/>
        <v>0</v>
      </c>
      <c r="T68" s="87">
        <f t="shared" si="4"/>
        <v>0</v>
      </c>
      <c r="U68" s="24">
        <f t="shared" si="5"/>
        <v>0</v>
      </c>
      <c r="V68" s="28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</row>
    <row r="69" spans="1:65" ht="24.75" customHeight="1">
      <c r="A69" s="142" t="s">
        <v>140</v>
      </c>
      <c r="B69" s="206">
        <v>11910</v>
      </c>
      <c r="C69" s="141">
        <v>16000</v>
      </c>
      <c r="D69" s="134">
        <v>16000</v>
      </c>
      <c r="E69" s="21">
        <v>2000</v>
      </c>
      <c r="F69" s="22">
        <v>1800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5">
        <f t="shared" si="6"/>
        <v>3800</v>
      </c>
      <c r="R69" s="171">
        <f t="shared" si="9"/>
        <v>23.75</v>
      </c>
      <c r="S69" s="24">
        <f t="shared" si="3"/>
        <v>1333.3333333333333</v>
      </c>
      <c r="T69" s="87">
        <f aca="true" t="shared" si="12" ref="T69:T132">Q69/12</f>
        <v>316.6666666666667</v>
      </c>
      <c r="U69" s="24">
        <f t="shared" si="5"/>
        <v>1016.6666666666665</v>
      </c>
      <c r="V69" s="28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</row>
    <row r="70" spans="1:65" ht="24.75" customHeight="1">
      <c r="A70" s="142" t="s">
        <v>141</v>
      </c>
      <c r="B70" s="206">
        <v>0</v>
      </c>
      <c r="C70" s="141"/>
      <c r="D70" s="134"/>
      <c r="E70" s="38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5">
        <f t="shared" si="6"/>
        <v>0</v>
      </c>
      <c r="R70" s="171" t="e">
        <f t="shared" si="9"/>
        <v>#DIV/0!</v>
      </c>
      <c r="S70" s="24">
        <f t="shared" si="3"/>
        <v>0</v>
      </c>
      <c r="T70" s="87">
        <f t="shared" si="12"/>
        <v>0</v>
      </c>
      <c r="U70" s="24">
        <f t="shared" si="5"/>
        <v>0</v>
      </c>
      <c r="V70" s="28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</row>
    <row r="71" spans="1:65" ht="24.75" customHeight="1">
      <c r="A71" s="142" t="s">
        <v>143</v>
      </c>
      <c r="B71" s="206">
        <v>0</v>
      </c>
      <c r="C71" s="141"/>
      <c r="D71" s="134"/>
      <c r="E71" s="38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5">
        <f aca="true" t="shared" si="13" ref="Q71:Q134">SUM(E71:P71)</f>
        <v>0</v>
      </c>
      <c r="R71" s="171" t="e">
        <f t="shared" si="9"/>
        <v>#DIV/0!</v>
      </c>
      <c r="S71" s="24">
        <f t="shared" si="3"/>
        <v>0</v>
      </c>
      <c r="T71" s="87">
        <f t="shared" si="12"/>
        <v>0</v>
      </c>
      <c r="U71" s="24">
        <f t="shared" si="5"/>
        <v>0</v>
      </c>
      <c r="V71" s="28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5" ht="24.75" customHeight="1">
      <c r="A72" s="142" t="s">
        <v>142</v>
      </c>
      <c r="B72" s="206">
        <v>0</v>
      </c>
      <c r="C72" s="141">
        <v>600</v>
      </c>
      <c r="D72" s="134">
        <v>600</v>
      </c>
      <c r="E72" s="21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5">
        <f t="shared" si="13"/>
        <v>0</v>
      </c>
      <c r="R72" s="171">
        <f t="shared" si="9"/>
        <v>0</v>
      </c>
      <c r="S72" s="24">
        <f t="shared" si="3"/>
        <v>50</v>
      </c>
      <c r="T72" s="87">
        <f t="shared" si="12"/>
        <v>0</v>
      </c>
      <c r="U72" s="24">
        <f t="shared" si="5"/>
        <v>50</v>
      </c>
      <c r="V72" s="28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</row>
    <row r="73" spans="1:65" ht="24.75" customHeight="1">
      <c r="A73" s="142" t="s">
        <v>144</v>
      </c>
      <c r="B73" s="206"/>
      <c r="C73" s="141"/>
      <c r="D73" s="134"/>
      <c r="E73" s="41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22"/>
      <c r="Q73" s="15">
        <f t="shared" si="13"/>
        <v>0</v>
      </c>
      <c r="R73" s="171" t="e">
        <f t="shared" si="9"/>
        <v>#DIV/0!</v>
      </c>
      <c r="S73" s="43">
        <f t="shared" si="3"/>
        <v>0</v>
      </c>
      <c r="T73" s="87">
        <f t="shared" si="12"/>
        <v>0</v>
      </c>
      <c r="U73" s="43">
        <f t="shared" si="5"/>
        <v>0</v>
      </c>
      <c r="V73" s="44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5" s="93" customFormat="1" ht="24.75" customHeight="1">
      <c r="A74" s="145" t="s">
        <v>33</v>
      </c>
      <c r="B74" s="45">
        <f>B4+B43+B47+B48+B49+B50+B51+B52+B53+B46+B44+B45</f>
        <v>67565554.58999999</v>
      </c>
      <c r="C74" s="45">
        <f>C4+C43+C47+C48+C49+C50+C51+C52+C53+C46+C44+C45</f>
        <v>65824649.99</v>
      </c>
      <c r="D74" s="45">
        <f>D4+D43+D44+D45+D46+D47+D48+D49+D50+D51+D52+D53</f>
        <v>66898412.37</v>
      </c>
      <c r="E74" s="45">
        <f aca="true" t="shared" si="14" ref="E74:V74">E4+E43+E47+E48+E49+E50+E51+E52+E53+E46+E44+E45</f>
        <v>20545039.159999996</v>
      </c>
      <c r="F74" s="45">
        <f t="shared" si="14"/>
        <v>1633131.5</v>
      </c>
      <c r="G74" s="45">
        <f t="shared" si="14"/>
        <v>0</v>
      </c>
      <c r="H74" s="45">
        <f t="shared" si="14"/>
        <v>0</v>
      </c>
      <c r="I74" s="45">
        <f t="shared" si="14"/>
        <v>0</v>
      </c>
      <c r="J74" s="45">
        <f t="shared" si="14"/>
        <v>0</v>
      </c>
      <c r="K74" s="45">
        <f t="shared" si="14"/>
        <v>0</v>
      </c>
      <c r="L74" s="45">
        <f t="shared" si="14"/>
        <v>0</v>
      </c>
      <c r="M74" s="45">
        <f t="shared" si="14"/>
        <v>0</v>
      </c>
      <c r="N74" s="45">
        <f t="shared" si="14"/>
        <v>0</v>
      </c>
      <c r="O74" s="45">
        <f t="shared" si="14"/>
        <v>0</v>
      </c>
      <c r="P74" s="45">
        <f t="shared" si="14"/>
        <v>0</v>
      </c>
      <c r="Q74" s="15">
        <f t="shared" si="13"/>
        <v>22178170.659999996</v>
      </c>
      <c r="R74" s="171">
        <f t="shared" si="9"/>
        <v>33.15201343992671</v>
      </c>
      <c r="S74" s="45">
        <f t="shared" si="14"/>
        <v>5574867.6975</v>
      </c>
      <c r="T74" s="87">
        <f t="shared" si="12"/>
        <v>1848180.888333333</v>
      </c>
      <c r="U74" s="45">
        <f t="shared" si="14"/>
        <v>3738647.020833333</v>
      </c>
      <c r="V74" s="45">
        <f t="shared" si="14"/>
        <v>0</v>
      </c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65" s="101" customFormat="1" ht="24.75" customHeight="1">
      <c r="A75" s="122" t="s">
        <v>34</v>
      </c>
      <c r="B75" s="122"/>
      <c r="C75" s="47"/>
      <c r="D75" s="4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0"/>
      <c r="Q75" s="15">
        <f t="shared" si="13"/>
        <v>0</v>
      </c>
      <c r="R75" s="171" t="e">
        <f t="shared" si="9"/>
        <v>#DIV/0!</v>
      </c>
      <c r="S75" s="17">
        <f aca="true" t="shared" si="15" ref="S75:S165">D75/12</f>
        <v>0</v>
      </c>
      <c r="T75" s="87">
        <f t="shared" si="12"/>
        <v>0</v>
      </c>
      <c r="U75" s="17">
        <f aca="true" t="shared" si="16" ref="U75:U165">S75-T75</f>
        <v>0</v>
      </c>
      <c r="V75" s="51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</row>
    <row r="76" spans="1:65" ht="24.75" customHeight="1">
      <c r="A76" s="122" t="s">
        <v>35</v>
      </c>
      <c r="B76" s="130">
        <f>SUM(B77:B79)</f>
        <v>10145688</v>
      </c>
      <c r="C76" s="52">
        <f aca="true" t="shared" si="17" ref="C76:P76">SUM(C77:C79)</f>
        <v>9793849</v>
      </c>
      <c r="D76" s="52">
        <f>SUM(D77:D79)</f>
        <v>10877904</v>
      </c>
      <c r="E76" s="52">
        <f t="shared" si="17"/>
        <v>873945</v>
      </c>
      <c r="F76" s="52">
        <f t="shared" si="17"/>
        <v>873945</v>
      </c>
      <c r="G76" s="52">
        <f t="shared" si="17"/>
        <v>0</v>
      </c>
      <c r="H76" s="52">
        <f t="shared" si="17"/>
        <v>0</v>
      </c>
      <c r="I76" s="52">
        <f t="shared" si="17"/>
        <v>0</v>
      </c>
      <c r="J76" s="52">
        <f t="shared" si="17"/>
        <v>0</v>
      </c>
      <c r="K76" s="52">
        <f t="shared" si="17"/>
        <v>0</v>
      </c>
      <c r="L76" s="52">
        <f t="shared" si="17"/>
        <v>0</v>
      </c>
      <c r="M76" s="52">
        <f t="shared" si="17"/>
        <v>0</v>
      </c>
      <c r="N76" s="52">
        <f t="shared" si="17"/>
        <v>0</v>
      </c>
      <c r="O76" s="52">
        <f t="shared" si="17"/>
        <v>0</v>
      </c>
      <c r="P76" s="53">
        <f t="shared" si="17"/>
        <v>0</v>
      </c>
      <c r="Q76" s="15">
        <f t="shared" si="13"/>
        <v>1747890</v>
      </c>
      <c r="R76" s="171">
        <f t="shared" si="9"/>
        <v>16.068260944387816</v>
      </c>
      <c r="S76" s="54">
        <f t="shared" si="15"/>
        <v>906492</v>
      </c>
      <c r="T76" s="87">
        <f t="shared" si="12"/>
        <v>145657.5</v>
      </c>
      <c r="U76" s="54">
        <f t="shared" si="16"/>
        <v>760834.5</v>
      </c>
      <c r="V76" s="55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65" ht="24.75" customHeight="1">
      <c r="A77" s="135" t="s">
        <v>36</v>
      </c>
      <c r="B77" s="207">
        <v>9182880</v>
      </c>
      <c r="C77" s="146">
        <v>8549301</v>
      </c>
      <c r="D77" s="147">
        <v>9282264</v>
      </c>
      <c r="E77" s="56">
        <f>111067.4+33676</f>
        <v>144743.4</v>
      </c>
      <c r="F77" s="56">
        <f>474590+268210</f>
        <v>742800</v>
      </c>
      <c r="G77" s="56"/>
      <c r="H77" s="56"/>
      <c r="I77" s="56"/>
      <c r="J77" s="56"/>
      <c r="K77" s="56"/>
      <c r="L77" s="56"/>
      <c r="M77" s="56"/>
      <c r="N77" s="56"/>
      <c r="O77" s="56"/>
      <c r="P77" s="57"/>
      <c r="Q77" s="15">
        <f t="shared" si="13"/>
        <v>887543.4</v>
      </c>
      <c r="R77" s="171">
        <f t="shared" si="9"/>
        <v>9.561712530477479</v>
      </c>
      <c r="S77" s="58"/>
      <c r="T77" s="87">
        <f t="shared" si="12"/>
        <v>73961.95</v>
      </c>
      <c r="U77" s="58"/>
      <c r="V77" s="59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</row>
    <row r="78" spans="1:65" ht="24.75" customHeight="1">
      <c r="A78" s="135" t="s">
        <v>37</v>
      </c>
      <c r="B78" s="207"/>
      <c r="C78" s="146">
        <v>1200</v>
      </c>
      <c r="D78" s="147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  <c r="Q78" s="15">
        <f t="shared" si="13"/>
        <v>0</v>
      </c>
      <c r="R78" s="171" t="e">
        <f t="shared" si="9"/>
        <v>#DIV/0!</v>
      </c>
      <c r="S78" s="58"/>
      <c r="T78" s="87">
        <f t="shared" si="12"/>
        <v>0</v>
      </c>
      <c r="U78" s="58"/>
      <c r="V78" s="59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</row>
    <row r="79" spans="1:65" ht="24.75" customHeight="1">
      <c r="A79" s="135" t="s">
        <v>38</v>
      </c>
      <c r="B79" s="207">
        <v>962808</v>
      </c>
      <c r="C79" s="146">
        <v>1243348</v>
      </c>
      <c r="D79" s="147">
        <v>1595640</v>
      </c>
      <c r="E79" s="56">
        <f>466087.6+263114</f>
        <v>729201.6</v>
      </c>
      <c r="F79" s="56">
        <f>102565+28580</f>
        <v>131145</v>
      </c>
      <c r="G79" s="56"/>
      <c r="H79" s="56"/>
      <c r="I79" s="56"/>
      <c r="J79" s="56"/>
      <c r="K79" s="56"/>
      <c r="L79" s="56"/>
      <c r="M79" s="56"/>
      <c r="N79" s="56"/>
      <c r="O79" s="56"/>
      <c r="P79" s="57"/>
      <c r="Q79" s="15">
        <f t="shared" si="13"/>
        <v>860346.6</v>
      </c>
      <c r="R79" s="171">
        <f t="shared" si="9"/>
        <v>53.91859065954726</v>
      </c>
      <c r="S79" s="58"/>
      <c r="T79" s="87">
        <f t="shared" si="12"/>
        <v>71695.55</v>
      </c>
      <c r="U79" s="58"/>
      <c r="V79" s="59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</row>
    <row r="80" spans="1:65" ht="24.75" customHeight="1">
      <c r="A80" s="122" t="s">
        <v>39</v>
      </c>
      <c r="B80" s="139">
        <f>SUM(B81:B95)</f>
        <v>17117157</v>
      </c>
      <c r="C80" s="76">
        <f>SUM(C81:C94)</f>
        <v>16857510</v>
      </c>
      <c r="D80" s="199">
        <f>SUM(D81:D94)</f>
        <v>16807510</v>
      </c>
      <c r="E80" s="89">
        <f aca="true" t="shared" si="18" ref="E80:P80">SUM(E81:E93)</f>
        <v>1412995</v>
      </c>
      <c r="F80" s="89">
        <f t="shared" si="18"/>
        <v>1088805</v>
      </c>
      <c r="G80" s="89">
        <f t="shared" si="18"/>
        <v>0</v>
      </c>
      <c r="H80" s="89">
        <f t="shared" si="18"/>
        <v>0</v>
      </c>
      <c r="I80" s="89">
        <f t="shared" si="18"/>
        <v>0</v>
      </c>
      <c r="J80" s="89">
        <f t="shared" si="18"/>
        <v>0</v>
      </c>
      <c r="K80" s="89">
        <f t="shared" si="18"/>
        <v>0</v>
      </c>
      <c r="L80" s="89">
        <f t="shared" si="18"/>
        <v>0</v>
      </c>
      <c r="M80" s="89">
        <f t="shared" si="18"/>
        <v>0</v>
      </c>
      <c r="N80" s="89">
        <f t="shared" si="18"/>
        <v>0</v>
      </c>
      <c r="O80" s="89">
        <f t="shared" si="18"/>
        <v>0</v>
      </c>
      <c r="P80" s="90">
        <f t="shared" si="18"/>
        <v>0</v>
      </c>
      <c r="Q80" s="15">
        <f t="shared" si="13"/>
        <v>2501800</v>
      </c>
      <c r="R80" s="171">
        <f t="shared" si="9"/>
        <v>14.885012711579526</v>
      </c>
      <c r="S80" s="86">
        <f>D80/12</f>
        <v>1400625.8333333333</v>
      </c>
      <c r="T80" s="87">
        <f t="shared" si="12"/>
        <v>208483.33333333334</v>
      </c>
      <c r="U80" s="86">
        <f t="shared" si="16"/>
        <v>1192142.5</v>
      </c>
      <c r="V80" s="19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</row>
    <row r="81" spans="1:65" ht="24.75" customHeight="1">
      <c r="A81" s="135" t="s">
        <v>40</v>
      </c>
      <c r="B81" s="206">
        <v>360000</v>
      </c>
      <c r="C81" s="141">
        <v>410000</v>
      </c>
      <c r="D81" s="134">
        <v>480000</v>
      </c>
      <c r="E81" s="21">
        <v>40000</v>
      </c>
      <c r="F81" s="21">
        <v>50000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15">
        <f t="shared" si="13"/>
        <v>90000</v>
      </c>
      <c r="R81" s="171">
        <f t="shared" si="9"/>
        <v>18.75</v>
      </c>
      <c r="S81" s="24">
        <f t="shared" si="15"/>
        <v>40000</v>
      </c>
      <c r="T81" s="87">
        <f t="shared" si="12"/>
        <v>7500</v>
      </c>
      <c r="U81" s="24">
        <f t="shared" si="16"/>
        <v>32500</v>
      </c>
      <c r="V81" s="28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</row>
    <row r="82" spans="1:65" ht="24.75" customHeight="1">
      <c r="A82" s="135" t="s">
        <v>41</v>
      </c>
      <c r="B82" s="206">
        <v>360000</v>
      </c>
      <c r="C82" s="141">
        <v>360000</v>
      </c>
      <c r="D82" s="134">
        <v>400000</v>
      </c>
      <c r="E82" s="21">
        <v>40000</v>
      </c>
      <c r="F82" s="21">
        <v>30000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5">
        <f t="shared" si="13"/>
        <v>70000</v>
      </c>
      <c r="R82" s="171">
        <f t="shared" si="9"/>
        <v>17.5</v>
      </c>
      <c r="S82" s="24">
        <f t="shared" si="15"/>
        <v>33333.333333333336</v>
      </c>
      <c r="T82" s="87">
        <f t="shared" si="12"/>
        <v>5833.333333333333</v>
      </c>
      <c r="U82" s="24">
        <f t="shared" si="16"/>
        <v>27500.000000000004</v>
      </c>
      <c r="V82" s="28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</row>
    <row r="83" spans="1:65" ht="24.75" customHeight="1">
      <c r="A83" s="135" t="s">
        <v>42</v>
      </c>
      <c r="B83" s="206">
        <v>240000</v>
      </c>
      <c r="C83" s="141">
        <v>220000</v>
      </c>
      <c r="D83" s="134">
        <f>220000+20000</f>
        <v>240000</v>
      </c>
      <c r="E83" s="21">
        <v>15000</v>
      </c>
      <c r="F83" s="21">
        <v>15000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15">
        <f t="shared" si="13"/>
        <v>30000</v>
      </c>
      <c r="R83" s="171">
        <f t="shared" si="9"/>
        <v>12.5</v>
      </c>
      <c r="S83" s="24">
        <f t="shared" si="15"/>
        <v>20000</v>
      </c>
      <c r="T83" s="87">
        <f t="shared" si="12"/>
        <v>2500</v>
      </c>
      <c r="U83" s="24">
        <f t="shared" si="16"/>
        <v>17500</v>
      </c>
      <c r="V83" s="28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65" ht="24.75" customHeight="1">
      <c r="A84" s="135" t="s">
        <v>184</v>
      </c>
      <c r="B84" s="206">
        <v>2671200</v>
      </c>
      <c r="C84" s="138">
        <v>2766900</v>
      </c>
      <c r="D84" s="134">
        <f>1584000+896400+237600</f>
        <v>2718000</v>
      </c>
      <c r="E84" s="21">
        <v>249500</v>
      </c>
      <c r="F84" s="21">
        <f>251300-5000</f>
        <v>246300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15">
        <f t="shared" si="13"/>
        <v>495800</v>
      </c>
      <c r="R84" s="171">
        <f t="shared" si="9"/>
        <v>18.241353936718173</v>
      </c>
      <c r="S84" s="24">
        <f t="shared" si="15"/>
        <v>226500</v>
      </c>
      <c r="T84" s="87">
        <f t="shared" si="12"/>
        <v>41316.666666666664</v>
      </c>
      <c r="U84" s="24">
        <f t="shared" si="16"/>
        <v>185183.33333333334</v>
      </c>
      <c r="V84" s="28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</row>
    <row r="85" spans="1:65" ht="24.75" customHeight="1">
      <c r="A85" s="135" t="s">
        <v>177</v>
      </c>
      <c r="B85" s="206">
        <v>1226000</v>
      </c>
      <c r="C85" s="138">
        <v>1190240</v>
      </c>
      <c r="D85" s="134">
        <v>1190240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15">
        <f t="shared" si="13"/>
        <v>0</v>
      </c>
      <c r="R85" s="171">
        <f t="shared" si="9"/>
        <v>0</v>
      </c>
      <c r="S85" s="24">
        <f t="shared" si="15"/>
        <v>99186.66666666667</v>
      </c>
      <c r="T85" s="87">
        <f t="shared" si="12"/>
        <v>0</v>
      </c>
      <c r="U85" s="24">
        <f t="shared" si="16"/>
        <v>99186.66666666667</v>
      </c>
      <c r="V85" s="28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</row>
    <row r="86" spans="1:65" ht="24.75" customHeight="1">
      <c r="A86" s="135" t="s">
        <v>145</v>
      </c>
      <c r="B86" s="206">
        <v>938550</v>
      </c>
      <c r="C86" s="138">
        <v>733750</v>
      </c>
      <c r="D86" s="134">
        <v>733750</v>
      </c>
      <c r="E86" s="21">
        <v>57250</v>
      </c>
      <c r="F86" s="21">
        <v>48750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15">
        <f t="shared" si="13"/>
        <v>106000</v>
      </c>
      <c r="R86" s="171">
        <f t="shared" si="9"/>
        <v>14.44633730834753</v>
      </c>
      <c r="S86" s="24">
        <f t="shared" si="15"/>
        <v>61145.833333333336</v>
      </c>
      <c r="T86" s="87">
        <f t="shared" si="12"/>
        <v>8833.333333333334</v>
      </c>
      <c r="U86" s="24">
        <f t="shared" si="16"/>
        <v>52312.5</v>
      </c>
      <c r="V86" s="28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</row>
    <row r="87" spans="1:65" ht="24.75" customHeight="1">
      <c r="A87" s="148" t="s">
        <v>146</v>
      </c>
      <c r="B87" s="206">
        <v>9001595</v>
      </c>
      <c r="C87" s="149">
        <v>8885325</v>
      </c>
      <c r="D87" s="134">
        <v>9000000</v>
      </c>
      <c r="E87" s="22">
        <v>851820</v>
      </c>
      <c r="F87" s="22">
        <v>554920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15">
        <f t="shared" si="13"/>
        <v>1406740</v>
      </c>
      <c r="R87" s="171">
        <f t="shared" si="9"/>
        <v>15.630444444444445</v>
      </c>
      <c r="S87" s="60">
        <f t="shared" si="15"/>
        <v>750000</v>
      </c>
      <c r="T87" s="87">
        <f t="shared" si="12"/>
        <v>117228.33333333333</v>
      </c>
      <c r="U87" s="60">
        <f t="shared" si="16"/>
        <v>632771.6666666666</v>
      </c>
      <c r="V87" s="61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</row>
    <row r="88" spans="1:65" ht="24.75" customHeight="1">
      <c r="A88" s="148" t="s">
        <v>147</v>
      </c>
      <c r="B88" s="206">
        <v>1306880</v>
      </c>
      <c r="C88" s="141">
        <v>1818955</v>
      </c>
      <c r="D88" s="134">
        <v>1622460</v>
      </c>
      <c r="E88" s="21">
        <v>121705</v>
      </c>
      <c r="F88" s="21">
        <v>106895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15">
        <f t="shared" si="13"/>
        <v>228600</v>
      </c>
      <c r="R88" s="171">
        <f t="shared" si="9"/>
        <v>14.089715617025998</v>
      </c>
      <c r="S88" s="24">
        <f t="shared" si="15"/>
        <v>135205</v>
      </c>
      <c r="T88" s="87">
        <f t="shared" si="12"/>
        <v>19050</v>
      </c>
      <c r="U88" s="24">
        <f t="shared" si="16"/>
        <v>116155</v>
      </c>
      <c r="V88" s="28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</row>
    <row r="89" spans="1:65" ht="24.75" customHeight="1">
      <c r="A89" s="148" t="s">
        <v>148</v>
      </c>
      <c r="B89" s="206"/>
      <c r="C89" s="138"/>
      <c r="D89" s="134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15">
        <f t="shared" si="13"/>
        <v>0</v>
      </c>
      <c r="R89" s="171" t="e">
        <f t="shared" si="9"/>
        <v>#DIV/0!</v>
      </c>
      <c r="S89" s="24">
        <f t="shared" si="15"/>
        <v>0</v>
      </c>
      <c r="T89" s="87">
        <f t="shared" si="12"/>
        <v>0</v>
      </c>
      <c r="U89" s="24">
        <f t="shared" si="16"/>
        <v>0</v>
      </c>
      <c r="V89" s="28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</row>
    <row r="90" spans="1:65" ht="24.75" customHeight="1">
      <c r="A90" s="148" t="s">
        <v>149</v>
      </c>
      <c r="B90" s="206"/>
      <c r="C90" s="138"/>
      <c r="D90" s="134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15">
        <f t="shared" si="13"/>
        <v>0</v>
      </c>
      <c r="R90" s="171" t="e">
        <f t="shared" si="9"/>
        <v>#DIV/0!</v>
      </c>
      <c r="S90" s="24"/>
      <c r="T90" s="87">
        <f t="shared" si="12"/>
        <v>0</v>
      </c>
      <c r="U90" s="24"/>
      <c r="V90" s="28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</row>
    <row r="91" spans="1:65" ht="24.75" customHeight="1">
      <c r="A91" s="135" t="s">
        <v>193</v>
      </c>
      <c r="B91" s="206">
        <v>48000</v>
      </c>
      <c r="C91" s="141">
        <v>80000</v>
      </c>
      <c r="D91" s="134">
        <v>60000</v>
      </c>
      <c r="E91" s="21">
        <v>6500</v>
      </c>
      <c r="F91" s="21">
        <v>6500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15">
        <f t="shared" si="13"/>
        <v>13000</v>
      </c>
      <c r="R91" s="171">
        <f t="shared" si="9"/>
        <v>21.666666666666668</v>
      </c>
      <c r="S91" s="24">
        <f t="shared" si="15"/>
        <v>5000</v>
      </c>
      <c r="T91" s="87">
        <f t="shared" si="12"/>
        <v>1083.3333333333333</v>
      </c>
      <c r="U91" s="24">
        <f t="shared" si="16"/>
        <v>3916.666666666667</v>
      </c>
      <c r="V91" s="28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</row>
    <row r="92" spans="1:65" ht="24.75" customHeight="1">
      <c r="A92" s="135" t="s">
        <v>194</v>
      </c>
      <c r="B92" s="206">
        <v>455550</v>
      </c>
      <c r="C92" s="138">
        <v>392340</v>
      </c>
      <c r="D92" s="134">
        <v>363060</v>
      </c>
      <c r="E92" s="21">
        <v>31220</v>
      </c>
      <c r="F92" s="21">
        <v>30440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15">
        <f t="shared" si="13"/>
        <v>61660</v>
      </c>
      <c r="R92" s="171">
        <f t="shared" si="9"/>
        <v>16.98341871866909</v>
      </c>
      <c r="S92" s="24">
        <f t="shared" si="15"/>
        <v>30255</v>
      </c>
      <c r="T92" s="87">
        <f t="shared" si="12"/>
        <v>5138.333333333333</v>
      </c>
      <c r="U92" s="24">
        <f t="shared" si="16"/>
        <v>25116.666666666668</v>
      </c>
      <c r="V92" s="28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</row>
    <row r="93" spans="1:65" ht="24.75" customHeight="1">
      <c r="A93" s="135" t="s">
        <v>195</v>
      </c>
      <c r="B93" s="206"/>
      <c r="C93" s="69"/>
      <c r="D93" s="68"/>
      <c r="E93" s="27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15">
        <f t="shared" si="13"/>
        <v>0</v>
      </c>
      <c r="R93" s="171" t="e">
        <f t="shared" si="9"/>
        <v>#DIV/0!</v>
      </c>
      <c r="S93" s="24">
        <f t="shared" si="15"/>
        <v>0</v>
      </c>
      <c r="T93" s="87">
        <f t="shared" si="12"/>
        <v>0</v>
      </c>
      <c r="U93" s="24">
        <f t="shared" si="16"/>
        <v>0</v>
      </c>
      <c r="V93" s="62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</row>
    <row r="94" spans="1:65" ht="24.75" customHeight="1">
      <c r="A94" s="135" t="s">
        <v>196</v>
      </c>
      <c r="B94" s="206"/>
      <c r="C94" s="141"/>
      <c r="D94" s="134"/>
      <c r="E94" s="2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15">
        <f t="shared" si="13"/>
        <v>0</v>
      </c>
      <c r="R94" s="171" t="e">
        <f t="shared" si="9"/>
        <v>#DIV/0!</v>
      </c>
      <c r="S94" s="24">
        <f t="shared" si="15"/>
        <v>0</v>
      </c>
      <c r="T94" s="87">
        <f t="shared" si="12"/>
        <v>0</v>
      </c>
      <c r="U94" s="24">
        <f t="shared" si="16"/>
        <v>0</v>
      </c>
      <c r="V94" s="28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</row>
    <row r="95" spans="1:65" ht="24.75" customHeight="1">
      <c r="A95" s="122" t="s">
        <v>43</v>
      </c>
      <c r="B95" s="167">
        <v>509382</v>
      </c>
      <c r="C95" s="69">
        <v>488228</v>
      </c>
      <c r="D95" s="198">
        <v>543896</v>
      </c>
      <c r="E95" s="27">
        <v>43492</v>
      </c>
      <c r="F95" s="27">
        <v>43492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15">
        <f t="shared" si="13"/>
        <v>86984</v>
      </c>
      <c r="R95" s="171">
        <f t="shared" si="9"/>
        <v>15.99276332239987</v>
      </c>
      <c r="S95" s="24">
        <f t="shared" si="15"/>
        <v>45324.666666666664</v>
      </c>
      <c r="T95" s="87">
        <f t="shared" si="12"/>
        <v>7248.666666666667</v>
      </c>
      <c r="U95" s="24">
        <f t="shared" si="16"/>
        <v>38076</v>
      </c>
      <c r="V95" s="62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</row>
    <row r="96" spans="1:65" ht="24.75" customHeight="1">
      <c r="A96" s="122" t="s">
        <v>44</v>
      </c>
      <c r="B96" s="209">
        <f>SUM(B97:B101)</f>
        <v>55000</v>
      </c>
      <c r="C96" s="150">
        <f>SUM(C97:C101)</f>
        <v>55000</v>
      </c>
      <c r="D96" s="196">
        <f aca="true" t="shared" si="19" ref="D96:U96">SUM(D97:D101)</f>
        <v>277559</v>
      </c>
      <c r="E96" s="83">
        <f t="shared" si="19"/>
        <v>18598.4</v>
      </c>
      <c r="F96" s="83">
        <f t="shared" si="19"/>
        <v>18598.4</v>
      </c>
      <c r="G96" s="83">
        <f t="shared" si="19"/>
        <v>0</v>
      </c>
      <c r="H96" s="83">
        <f t="shared" si="19"/>
        <v>0</v>
      </c>
      <c r="I96" s="83">
        <f t="shared" si="19"/>
        <v>0</v>
      </c>
      <c r="J96" s="83">
        <f t="shared" si="19"/>
        <v>0</v>
      </c>
      <c r="K96" s="83">
        <f t="shared" si="19"/>
        <v>0</v>
      </c>
      <c r="L96" s="83">
        <f t="shared" si="19"/>
        <v>0</v>
      </c>
      <c r="M96" s="83">
        <f t="shared" si="19"/>
        <v>0</v>
      </c>
      <c r="N96" s="83">
        <f t="shared" si="19"/>
        <v>0</v>
      </c>
      <c r="O96" s="83">
        <f t="shared" si="19"/>
        <v>0</v>
      </c>
      <c r="P96" s="83">
        <f t="shared" si="19"/>
        <v>0</v>
      </c>
      <c r="Q96" s="15">
        <f t="shared" si="13"/>
        <v>37196.8</v>
      </c>
      <c r="R96" s="171">
        <f t="shared" si="9"/>
        <v>13.401402944959452</v>
      </c>
      <c r="S96" s="83">
        <f t="shared" si="19"/>
        <v>23129.916666666668</v>
      </c>
      <c r="T96" s="87">
        <f t="shared" si="12"/>
        <v>3099.7333333333336</v>
      </c>
      <c r="U96" s="83">
        <f t="shared" si="19"/>
        <v>20030.183333333334</v>
      </c>
      <c r="V96" s="28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</row>
    <row r="97" spans="1:65" ht="24.75" customHeight="1">
      <c r="A97" s="135" t="s">
        <v>45</v>
      </c>
      <c r="B97" s="167">
        <v>55000</v>
      </c>
      <c r="C97" s="141">
        <v>55000</v>
      </c>
      <c r="D97" s="134">
        <v>60000</v>
      </c>
      <c r="E97" s="21">
        <v>5000</v>
      </c>
      <c r="F97" s="22">
        <v>5000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15">
        <f t="shared" si="13"/>
        <v>10000</v>
      </c>
      <c r="R97" s="171">
        <f t="shared" si="9"/>
        <v>16.666666666666668</v>
      </c>
      <c r="S97" s="24">
        <f t="shared" si="15"/>
        <v>5000</v>
      </c>
      <c r="T97" s="87">
        <f t="shared" si="12"/>
        <v>833.3333333333334</v>
      </c>
      <c r="U97" s="24">
        <f t="shared" si="16"/>
        <v>4166.666666666667</v>
      </c>
      <c r="V97" s="28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</row>
    <row r="98" spans="1:65" ht="24.75" customHeight="1">
      <c r="A98" s="135" t="s">
        <v>212</v>
      </c>
      <c r="B98" s="167"/>
      <c r="C98" s="141"/>
      <c r="D98" s="134">
        <v>217559</v>
      </c>
      <c r="E98" s="21">
        <v>13598.4</v>
      </c>
      <c r="F98" s="22">
        <v>13598.4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15">
        <f t="shared" si="13"/>
        <v>27196.8</v>
      </c>
      <c r="R98" s="171">
        <f t="shared" si="9"/>
        <v>12.500884817451817</v>
      </c>
      <c r="S98" s="24">
        <f t="shared" si="15"/>
        <v>18129.916666666668</v>
      </c>
      <c r="T98" s="87">
        <f t="shared" si="12"/>
        <v>2266.4</v>
      </c>
      <c r="U98" s="24">
        <f t="shared" si="16"/>
        <v>15863.516666666668</v>
      </c>
      <c r="V98" s="28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</row>
    <row r="99" spans="1:65" ht="24.75" customHeight="1">
      <c r="A99" s="135" t="s">
        <v>46</v>
      </c>
      <c r="B99" s="167"/>
      <c r="C99" s="141"/>
      <c r="D99" s="134"/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15">
        <f t="shared" si="13"/>
        <v>0</v>
      </c>
      <c r="R99" s="171" t="e">
        <f t="shared" si="9"/>
        <v>#DIV/0!</v>
      </c>
      <c r="S99" s="24">
        <f t="shared" si="15"/>
        <v>0</v>
      </c>
      <c r="T99" s="87">
        <f t="shared" si="12"/>
        <v>0</v>
      </c>
      <c r="U99" s="24">
        <f t="shared" si="16"/>
        <v>0</v>
      </c>
      <c r="V99" s="28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</row>
    <row r="100" spans="1:65" ht="24.75" customHeight="1">
      <c r="A100" s="135" t="s">
        <v>47</v>
      </c>
      <c r="B100" s="167"/>
      <c r="C100" s="141"/>
      <c r="D100" s="134"/>
      <c r="E100" s="21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15">
        <f t="shared" si="13"/>
        <v>0</v>
      </c>
      <c r="R100" s="171" t="e">
        <f t="shared" si="9"/>
        <v>#DIV/0!</v>
      </c>
      <c r="S100" s="24"/>
      <c r="T100" s="87">
        <f t="shared" si="12"/>
        <v>0</v>
      </c>
      <c r="U100" s="24"/>
      <c r="V100" s="28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</row>
    <row r="101" spans="1:65" ht="24.75" customHeight="1">
      <c r="A101" s="135" t="s">
        <v>48</v>
      </c>
      <c r="B101" s="167"/>
      <c r="C101" s="141"/>
      <c r="D101" s="134"/>
      <c r="E101" s="21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15">
        <f t="shared" si="13"/>
        <v>0</v>
      </c>
      <c r="R101" s="171" t="e">
        <f t="shared" si="9"/>
        <v>#DIV/0!</v>
      </c>
      <c r="S101" s="24">
        <f t="shared" si="15"/>
        <v>0</v>
      </c>
      <c r="T101" s="87">
        <f t="shared" si="12"/>
        <v>0</v>
      </c>
      <c r="U101" s="24">
        <f t="shared" si="16"/>
        <v>0</v>
      </c>
      <c r="V101" s="28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</row>
    <row r="102" spans="1:65" ht="24.75" customHeight="1">
      <c r="A102" s="151" t="s">
        <v>49</v>
      </c>
      <c r="B102" s="152">
        <v>27319645</v>
      </c>
      <c r="C102" s="152">
        <f>C76+C80+C95+C96</f>
        <v>27194587</v>
      </c>
      <c r="D102" s="152">
        <f>D76+D80+D95+D96</f>
        <v>28506869</v>
      </c>
      <c r="E102" s="91">
        <f aca="true" t="shared" si="20" ref="E102:P102">E76+E80+E94+E95</f>
        <v>2330432</v>
      </c>
      <c r="F102" s="91">
        <f t="shared" si="20"/>
        <v>2006242</v>
      </c>
      <c r="G102" s="91">
        <f t="shared" si="20"/>
        <v>0</v>
      </c>
      <c r="H102" s="91">
        <f t="shared" si="20"/>
        <v>0</v>
      </c>
      <c r="I102" s="91">
        <f t="shared" si="20"/>
        <v>0</v>
      </c>
      <c r="J102" s="91">
        <f t="shared" si="20"/>
        <v>0</v>
      </c>
      <c r="K102" s="91">
        <f t="shared" si="20"/>
        <v>0</v>
      </c>
      <c r="L102" s="91">
        <f t="shared" si="20"/>
        <v>0</v>
      </c>
      <c r="M102" s="91">
        <f t="shared" si="20"/>
        <v>0</v>
      </c>
      <c r="N102" s="91">
        <f t="shared" si="20"/>
        <v>0</v>
      </c>
      <c r="O102" s="91">
        <f t="shared" si="20"/>
        <v>0</v>
      </c>
      <c r="P102" s="91">
        <f t="shared" si="20"/>
        <v>0</v>
      </c>
      <c r="Q102" s="15">
        <f t="shared" si="13"/>
        <v>4336674</v>
      </c>
      <c r="R102" s="171">
        <f aca="true" t="shared" si="21" ref="R102:R165">Q102*100/D102</f>
        <v>15.212733464345032</v>
      </c>
      <c r="S102" s="92">
        <f t="shared" si="15"/>
        <v>2375572.4166666665</v>
      </c>
      <c r="T102" s="87">
        <f t="shared" si="12"/>
        <v>361389.5</v>
      </c>
      <c r="U102" s="92">
        <f t="shared" si="16"/>
        <v>2014182.9166666665</v>
      </c>
      <c r="V102" s="62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</row>
    <row r="103" spans="1:65" s="93" customFormat="1" ht="24.75" customHeight="1">
      <c r="A103" s="122" t="s">
        <v>50</v>
      </c>
      <c r="B103" s="209">
        <f>SUM(B104:B106,B109:B123)</f>
        <v>6532866.8</v>
      </c>
      <c r="C103" s="84">
        <f>C104+C105+C106+C109+C110+C111+C112+C113+C114+C115+C116+C117+C118+C119+C120+C121+C122+C123</f>
        <v>5352953.7700000005</v>
      </c>
      <c r="D103" s="195">
        <f>D104+D105+D106+D109+D110+D111+D112+D113+D114+D115+D116+D117+D118+D119+D120+D121+D122+D123</f>
        <v>5118309</v>
      </c>
      <c r="E103" s="64">
        <f aca="true" t="shared" si="22" ref="E103:P103">E104+E105+E106+E109+E110+E111+E112+E113+E114+E115+E116+E117+E118+E119+E120+E121+E122+E123</f>
        <v>350937.18000000005</v>
      </c>
      <c r="F103" s="64">
        <f>+F105+F111+F112+F113+F115+F119+F120+F122</f>
        <v>294273.6</v>
      </c>
      <c r="G103" s="64">
        <f t="shared" si="22"/>
        <v>0</v>
      </c>
      <c r="H103" s="64">
        <f t="shared" si="22"/>
        <v>0</v>
      </c>
      <c r="I103" s="64">
        <f t="shared" si="22"/>
        <v>0</v>
      </c>
      <c r="J103" s="64">
        <f t="shared" si="22"/>
        <v>0</v>
      </c>
      <c r="K103" s="64">
        <f t="shared" si="22"/>
        <v>0</v>
      </c>
      <c r="L103" s="64">
        <f t="shared" si="22"/>
        <v>0</v>
      </c>
      <c r="M103" s="64">
        <f t="shared" si="22"/>
        <v>0</v>
      </c>
      <c r="N103" s="64">
        <f t="shared" si="22"/>
        <v>0</v>
      </c>
      <c r="O103" s="64">
        <f t="shared" si="22"/>
        <v>0</v>
      </c>
      <c r="P103" s="64">
        <f t="shared" si="22"/>
        <v>0</v>
      </c>
      <c r="Q103" s="15">
        <f t="shared" si="13"/>
        <v>645210.78</v>
      </c>
      <c r="R103" s="171">
        <f t="shared" si="21"/>
        <v>12.605936452840186</v>
      </c>
      <c r="S103" s="64">
        <f t="shared" si="15"/>
        <v>426525.75</v>
      </c>
      <c r="T103" s="87">
        <f t="shared" si="12"/>
        <v>53767.565</v>
      </c>
      <c r="U103" s="64">
        <f t="shared" si="16"/>
        <v>372758.185</v>
      </c>
      <c r="V103" s="65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</row>
    <row r="104" spans="1:65" s="93" customFormat="1" ht="24.75" customHeight="1">
      <c r="A104" s="135" t="s">
        <v>51</v>
      </c>
      <c r="B104" s="206">
        <v>15720</v>
      </c>
      <c r="C104" s="141">
        <v>18730</v>
      </c>
      <c r="D104" s="134">
        <v>18730</v>
      </c>
      <c r="E104" s="21">
        <v>120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15">
        <f t="shared" si="13"/>
        <v>120</v>
      </c>
      <c r="R104" s="171">
        <f t="shared" si="21"/>
        <v>0.6406833956219968</v>
      </c>
      <c r="S104" s="24">
        <f t="shared" si="15"/>
        <v>1560.8333333333333</v>
      </c>
      <c r="T104" s="87">
        <f t="shared" si="12"/>
        <v>10</v>
      </c>
      <c r="U104" s="24">
        <f t="shared" si="16"/>
        <v>1550.8333333333333</v>
      </c>
      <c r="V104" s="28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</row>
    <row r="105" spans="1:65" ht="24.75" customHeight="1">
      <c r="A105" s="135" t="s">
        <v>52</v>
      </c>
      <c r="B105" s="206">
        <v>500000</v>
      </c>
      <c r="C105" s="141">
        <v>312564</v>
      </c>
      <c r="D105" s="134">
        <v>400000</v>
      </c>
      <c r="E105" s="21">
        <v>8750</v>
      </c>
      <c r="F105" s="22">
        <v>28200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15">
        <f t="shared" si="13"/>
        <v>36950</v>
      </c>
      <c r="R105" s="171">
        <f t="shared" si="21"/>
        <v>9.2375</v>
      </c>
      <c r="S105" s="24">
        <f t="shared" si="15"/>
        <v>33333.333333333336</v>
      </c>
      <c r="T105" s="87">
        <f t="shared" si="12"/>
        <v>3079.1666666666665</v>
      </c>
      <c r="U105" s="24">
        <f t="shared" si="16"/>
        <v>30254.166666666668</v>
      </c>
      <c r="V105" s="28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</row>
    <row r="106" spans="1:65" ht="24.75" customHeight="1">
      <c r="A106" s="135" t="s">
        <v>53</v>
      </c>
      <c r="B106" s="203">
        <f>SUM(B107:B108)</f>
        <v>2162185</v>
      </c>
      <c r="C106" s="150">
        <f>SUM(C107:C108)</f>
        <v>1679926.08</v>
      </c>
      <c r="D106" s="150">
        <f aca="true" t="shared" si="23" ref="D106:V106">SUM(D107:D108)</f>
        <v>1253870</v>
      </c>
      <c r="E106" s="83">
        <f t="shared" si="23"/>
        <v>0</v>
      </c>
      <c r="F106" s="83">
        <f>+F107+F108</f>
        <v>0</v>
      </c>
      <c r="G106" s="83">
        <f t="shared" si="23"/>
        <v>0</v>
      </c>
      <c r="H106" s="83">
        <f t="shared" si="23"/>
        <v>0</v>
      </c>
      <c r="I106" s="83">
        <f t="shared" si="23"/>
        <v>0</v>
      </c>
      <c r="J106" s="83">
        <f t="shared" si="23"/>
        <v>0</v>
      </c>
      <c r="K106" s="83">
        <f t="shared" si="23"/>
        <v>0</v>
      </c>
      <c r="L106" s="83">
        <f t="shared" si="23"/>
        <v>0</v>
      </c>
      <c r="M106" s="83">
        <f t="shared" si="23"/>
        <v>0</v>
      </c>
      <c r="N106" s="83">
        <f t="shared" si="23"/>
        <v>0</v>
      </c>
      <c r="O106" s="83">
        <f t="shared" si="23"/>
        <v>0</v>
      </c>
      <c r="P106" s="83">
        <f t="shared" si="23"/>
        <v>0</v>
      </c>
      <c r="Q106" s="15">
        <f t="shared" si="13"/>
        <v>0</v>
      </c>
      <c r="R106" s="171">
        <f t="shared" si="21"/>
        <v>0</v>
      </c>
      <c r="S106" s="83">
        <f t="shared" si="23"/>
        <v>104489.16666666666</v>
      </c>
      <c r="T106" s="87">
        <f t="shared" si="12"/>
        <v>0</v>
      </c>
      <c r="U106" s="83">
        <f t="shared" si="23"/>
        <v>104489.16666666666</v>
      </c>
      <c r="V106" s="83">
        <f t="shared" si="23"/>
        <v>0</v>
      </c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</row>
    <row r="107" spans="1:65" ht="24.75" customHeight="1">
      <c r="A107" s="135" t="s">
        <v>54</v>
      </c>
      <c r="B107" s="206">
        <v>311380</v>
      </c>
      <c r="C107" s="138">
        <v>103870</v>
      </c>
      <c r="D107" s="134">
        <v>103870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15">
        <f t="shared" si="13"/>
        <v>0</v>
      </c>
      <c r="R107" s="171">
        <f t="shared" si="21"/>
        <v>0</v>
      </c>
      <c r="S107" s="24">
        <f t="shared" si="15"/>
        <v>8655.833333333334</v>
      </c>
      <c r="T107" s="87">
        <f t="shared" si="12"/>
        <v>0</v>
      </c>
      <c r="U107" s="24">
        <f t="shared" si="16"/>
        <v>8655.833333333334</v>
      </c>
      <c r="V107" s="28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</row>
    <row r="108" spans="1:65" ht="24.75" customHeight="1">
      <c r="A108" s="135" t="s">
        <v>55</v>
      </c>
      <c r="B108" s="206">
        <v>1850805</v>
      </c>
      <c r="C108" s="138">
        <v>1576056.08</v>
      </c>
      <c r="D108" s="134">
        <v>1150000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15">
        <f t="shared" si="13"/>
        <v>0</v>
      </c>
      <c r="R108" s="171">
        <f t="shared" si="21"/>
        <v>0</v>
      </c>
      <c r="S108" s="24">
        <f t="shared" si="15"/>
        <v>95833.33333333333</v>
      </c>
      <c r="T108" s="87">
        <f t="shared" si="12"/>
        <v>0</v>
      </c>
      <c r="U108" s="24">
        <f t="shared" si="16"/>
        <v>95833.33333333333</v>
      </c>
      <c r="V108" s="28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</row>
    <row r="109" spans="1:65" ht="24.75" customHeight="1">
      <c r="A109" s="135" t="s">
        <v>56</v>
      </c>
      <c r="B109" s="206">
        <v>55000</v>
      </c>
      <c r="C109" s="141">
        <v>170448</v>
      </c>
      <c r="D109" s="134">
        <f>200000+65000</f>
        <v>265000</v>
      </c>
      <c r="E109" s="38">
        <v>65960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15">
        <f t="shared" si="13"/>
        <v>65960</v>
      </c>
      <c r="R109" s="171">
        <f t="shared" si="21"/>
        <v>24.890566037735848</v>
      </c>
      <c r="S109" s="24">
        <f t="shared" si="15"/>
        <v>22083.333333333332</v>
      </c>
      <c r="T109" s="87">
        <f t="shared" si="12"/>
        <v>5496.666666666667</v>
      </c>
      <c r="U109" s="24">
        <f t="shared" si="16"/>
        <v>16586.666666666664</v>
      </c>
      <c r="V109" s="28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</row>
    <row r="110" spans="1:65" ht="24.75" customHeight="1">
      <c r="A110" s="135" t="s">
        <v>57</v>
      </c>
      <c r="B110" s="206">
        <v>472140</v>
      </c>
      <c r="C110" s="141">
        <v>346718.29</v>
      </c>
      <c r="D110" s="134">
        <v>303800</v>
      </c>
      <c r="E110" s="376">
        <v>11616.28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15">
        <f t="shared" si="13"/>
        <v>11616.28</v>
      </c>
      <c r="R110" s="171">
        <f t="shared" si="21"/>
        <v>3.8236603028308096</v>
      </c>
      <c r="S110" s="24">
        <f t="shared" si="15"/>
        <v>25316.666666666668</v>
      </c>
      <c r="T110" s="87">
        <f t="shared" si="12"/>
        <v>968.0233333333334</v>
      </c>
      <c r="U110" s="24">
        <f t="shared" si="16"/>
        <v>24348.643333333333</v>
      </c>
      <c r="V110" s="28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</row>
    <row r="111" spans="1:65" ht="24.75" customHeight="1">
      <c r="A111" s="135" t="s">
        <v>58</v>
      </c>
      <c r="B111" s="206">
        <v>250000</v>
      </c>
      <c r="C111" s="138">
        <v>121248.3</v>
      </c>
      <c r="D111" s="134">
        <v>140000</v>
      </c>
      <c r="E111" s="21">
        <v>99242.5</v>
      </c>
      <c r="F111" s="21">
        <v>26000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15">
        <f t="shared" si="13"/>
        <v>125242.5</v>
      </c>
      <c r="R111" s="171">
        <f t="shared" si="21"/>
        <v>89.45892857142857</v>
      </c>
      <c r="S111" s="24">
        <f t="shared" si="15"/>
        <v>11666.666666666666</v>
      </c>
      <c r="T111" s="87">
        <f t="shared" si="12"/>
        <v>10436.875</v>
      </c>
      <c r="U111" s="24">
        <f t="shared" si="16"/>
        <v>1229.791666666666</v>
      </c>
      <c r="V111" s="28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</row>
    <row r="112" spans="1:65" ht="24.75" customHeight="1">
      <c r="A112" s="135" t="s">
        <v>59</v>
      </c>
      <c r="B112" s="206">
        <v>435000</v>
      </c>
      <c r="C112" s="138">
        <v>146789.2</v>
      </c>
      <c r="D112" s="134">
        <v>160000</v>
      </c>
      <c r="E112" s="21">
        <v>4300</v>
      </c>
      <c r="F112" s="22">
        <f>18820+66233</f>
        <v>85053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15">
        <f t="shared" si="13"/>
        <v>89353</v>
      </c>
      <c r="R112" s="171">
        <f t="shared" si="21"/>
        <v>55.845625</v>
      </c>
      <c r="S112" s="24">
        <f t="shared" si="15"/>
        <v>13333.333333333334</v>
      </c>
      <c r="T112" s="87">
        <f t="shared" si="12"/>
        <v>7446.083333333333</v>
      </c>
      <c r="U112" s="24">
        <f t="shared" si="16"/>
        <v>5887.250000000001</v>
      </c>
      <c r="V112" s="28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</row>
    <row r="113" spans="1:65" ht="24.75" customHeight="1">
      <c r="A113" s="135" t="s">
        <v>60</v>
      </c>
      <c r="B113" s="206">
        <v>945000</v>
      </c>
      <c r="C113" s="138">
        <v>945000</v>
      </c>
      <c r="D113" s="134">
        <v>970200</v>
      </c>
      <c r="E113" s="21">
        <v>78750</v>
      </c>
      <c r="F113" s="21">
        <v>78750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15">
        <f t="shared" si="13"/>
        <v>157500</v>
      </c>
      <c r="R113" s="171">
        <f t="shared" si="21"/>
        <v>16.233766233766232</v>
      </c>
      <c r="S113" s="24">
        <f t="shared" si="15"/>
        <v>80850</v>
      </c>
      <c r="T113" s="87">
        <f t="shared" si="12"/>
        <v>13125</v>
      </c>
      <c r="U113" s="24">
        <f t="shared" si="16"/>
        <v>67725</v>
      </c>
      <c r="V113" s="28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</row>
    <row r="114" spans="1:65" ht="24.75" customHeight="1">
      <c r="A114" s="135" t="s">
        <v>61</v>
      </c>
      <c r="B114" s="206"/>
      <c r="C114" s="141"/>
      <c r="D114" s="134"/>
      <c r="E114" s="38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15">
        <f t="shared" si="13"/>
        <v>0</v>
      </c>
      <c r="R114" s="171" t="e">
        <f t="shared" si="21"/>
        <v>#DIV/0!</v>
      </c>
      <c r="S114" s="24">
        <f t="shared" si="15"/>
        <v>0</v>
      </c>
      <c r="T114" s="87">
        <f t="shared" si="12"/>
        <v>0</v>
      </c>
      <c r="U114" s="24">
        <f t="shared" si="16"/>
        <v>0</v>
      </c>
      <c r="V114" s="28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</row>
    <row r="115" spans="1:65" ht="24.75" customHeight="1">
      <c r="A115" s="135" t="s">
        <v>62</v>
      </c>
      <c r="B115" s="206">
        <v>70000</v>
      </c>
      <c r="C115" s="138">
        <v>81164</v>
      </c>
      <c r="D115" s="134">
        <v>80000</v>
      </c>
      <c r="E115" s="21">
        <f>9120-6375</f>
        <v>2745</v>
      </c>
      <c r="F115" s="21">
        <v>7152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15">
        <f t="shared" si="13"/>
        <v>9897</v>
      </c>
      <c r="R115" s="171">
        <f t="shared" si="21"/>
        <v>12.37125</v>
      </c>
      <c r="S115" s="24">
        <f t="shared" si="15"/>
        <v>6666.666666666667</v>
      </c>
      <c r="T115" s="87">
        <f t="shared" si="12"/>
        <v>824.75</v>
      </c>
      <c r="U115" s="24">
        <f t="shared" si="16"/>
        <v>5841.916666666667</v>
      </c>
      <c r="V115" s="28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</row>
    <row r="116" spans="1:65" ht="24.75" customHeight="1">
      <c r="A116" s="135" t="s">
        <v>63</v>
      </c>
      <c r="B116" s="206"/>
      <c r="C116" s="141"/>
      <c r="D116" s="134"/>
      <c r="E116" s="21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15">
        <f t="shared" si="13"/>
        <v>0</v>
      </c>
      <c r="R116" s="171" t="e">
        <f t="shared" si="21"/>
        <v>#DIV/0!</v>
      </c>
      <c r="S116" s="24">
        <f t="shared" si="15"/>
        <v>0</v>
      </c>
      <c r="T116" s="87">
        <f t="shared" si="12"/>
        <v>0</v>
      </c>
      <c r="U116" s="24">
        <f t="shared" si="16"/>
        <v>0</v>
      </c>
      <c r="V116" s="28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</row>
    <row r="117" spans="1:65" ht="24.75" customHeight="1">
      <c r="A117" s="135" t="s">
        <v>64</v>
      </c>
      <c r="B117" s="206"/>
      <c r="C117" s="141"/>
      <c r="D117" s="134"/>
      <c r="E117" s="21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15">
        <f t="shared" si="13"/>
        <v>0</v>
      </c>
      <c r="R117" s="171" t="e">
        <f t="shared" si="21"/>
        <v>#DIV/0!</v>
      </c>
      <c r="S117" s="24">
        <f t="shared" si="15"/>
        <v>0</v>
      </c>
      <c r="T117" s="87">
        <f t="shared" si="12"/>
        <v>0</v>
      </c>
      <c r="U117" s="24">
        <f t="shared" si="16"/>
        <v>0</v>
      </c>
      <c r="V117" s="28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</row>
    <row r="118" spans="1:65" ht="24.75" customHeight="1">
      <c r="A118" s="135" t="s">
        <v>65</v>
      </c>
      <c r="B118" s="206">
        <v>211568.8</v>
      </c>
      <c r="C118" s="141">
        <v>142058</v>
      </c>
      <c r="D118" s="134">
        <v>142058</v>
      </c>
      <c r="E118" s="21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15">
        <f t="shared" si="13"/>
        <v>0</v>
      </c>
      <c r="R118" s="171">
        <f t="shared" si="21"/>
        <v>0</v>
      </c>
      <c r="S118" s="24">
        <f t="shared" si="15"/>
        <v>11838.166666666666</v>
      </c>
      <c r="T118" s="87">
        <f t="shared" si="12"/>
        <v>0</v>
      </c>
      <c r="U118" s="24">
        <f t="shared" si="16"/>
        <v>11838.166666666666</v>
      </c>
      <c r="V118" s="28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</row>
    <row r="119" spans="1:65" ht="24.75" customHeight="1">
      <c r="A119" s="135" t="s">
        <v>66</v>
      </c>
      <c r="B119" s="206">
        <v>581730</v>
      </c>
      <c r="C119" s="141">
        <v>607901.9</v>
      </c>
      <c r="D119" s="134">
        <v>600000</v>
      </c>
      <c r="E119" s="21">
        <f>63347+7511.4</f>
        <v>70858.4</v>
      </c>
      <c r="F119" s="22">
        <v>67560.6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15">
        <f t="shared" si="13"/>
        <v>138419</v>
      </c>
      <c r="R119" s="171">
        <f t="shared" si="21"/>
        <v>23.06983333333333</v>
      </c>
      <c r="S119" s="24"/>
      <c r="T119" s="87">
        <f t="shared" si="12"/>
        <v>11534.916666666666</v>
      </c>
      <c r="U119" s="24"/>
      <c r="V119" s="28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</row>
    <row r="120" spans="1:65" ht="24.75" customHeight="1">
      <c r="A120" s="135" t="s">
        <v>67</v>
      </c>
      <c r="B120" s="206">
        <v>334427</v>
      </c>
      <c r="C120" s="141">
        <v>464555</v>
      </c>
      <c r="D120" s="134">
        <v>464555</v>
      </c>
      <c r="E120" s="21"/>
      <c r="F120" s="22">
        <v>1550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15">
        <f t="shared" si="13"/>
        <v>1550</v>
      </c>
      <c r="R120" s="171">
        <f t="shared" si="21"/>
        <v>0.3336526353176696</v>
      </c>
      <c r="S120" s="24"/>
      <c r="T120" s="87">
        <f t="shared" si="12"/>
        <v>129.16666666666666</v>
      </c>
      <c r="U120" s="24"/>
      <c r="V120" s="28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</row>
    <row r="121" spans="1:65" ht="24.75" customHeight="1">
      <c r="A121" s="135" t="s">
        <v>68</v>
      </c>
      <c r="B121" s="206">
        <v>500000</v>
      </c>
      <c r="C121" s="138">
        <v>315755</v>
      </c>
      <c r="D121" s="134">
        <v>320000</v>
      </c>
      <c r="E121" s="21">
        <v>8587</v>
      </c>
      <c r="F121" s="21" t="s">
        <v>371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15">
        <f t="shared" si="13"/>
        <v>8587</v>
      </c>
      <c r="R121" s="171">
        <f t="shared" si="21"/>
        <v>2.6834375</v>
      </c>
      <c r="S121" s="24">
        <f t="shared" si="15"/>
        <v>26666.666666666668</v>
      </c>
      <c r="T121" s="87">
        <f t="shared" si="12"/>
        <v>715.5833333333334</v>
      </c>
      <c r="U121" s="24">
        <f t="shared" si="16"/>
        <v>25951.083333333336</v>
      </c>
      <c r="V121" s="28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</row>
    <row r="122" spans="1:65" ht="24.75" customHeight="1">
      <c r="A122" s="135" t="s">
        <v>69</v>
      </c>
      <c r="B122" s="206">
        <v>96</v>
      </c>
      <c r="C122" s="141">
        <v>96</v>
      </c>
      <c r="D122" s="134">
        <v>96</v>
      </c>
      <c r="E122" s="21">
        <v>8</v>
      </c>
      <c r="F122" s="22">
        <v>8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15">
        <f t="shared" si="13"/>
        <v>16</v>
      </c>
      <c r="R122" s="171">
        <f t="shared" si="21"/>
        <v>16.666666666666668</v>
      </c>
      <c r="S122" s="24">
        <f t="shared" si="15"/>
        <v>8</v>
      </c>
      <c r="T122" s="87">
        <f t="shared" si="12"/>
        <v>1.3333333333333333</v>
      </c>
      <c r="U122" s="24">
        <f t="shared" si="16"/>
        <v>6.666666666666667</v>
      </c>
      <c r="V122" s="28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</row>
    <row r="123" spans="1:65" ht="24.75" customHeight="1">
      <c r="A123" s="135" t="s">
        <v>70</v>
      </c>
      <c r="B123" s="206"/>
      <c r="C123" s="141"/>
      <c r="D123" s="134"/>
      <c r="E123" s="21"/>
      <c r="F123" s="22" t="s">
        <v>372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15">
        <f t="shared" si="13"/>
        <v>0</v>
      </c>
      <c r="R123" s="171" t="e">
        <f t="shared" si="21"/>
        <v>#DIV/0!</v>
      </c>
      <c r="S123" s="24">
        <f t="shared" si="15"/>
        <v>0</v>
      </c>
      <c r="T123" s="87">
        <f t="shared" si="12"/>
        <v>0</v>
      </c>
      <c r="U123" s="24">
        <f t="shared" si="16"/>
        <v>0</v>
      </c>
      <c r="V123" s="28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</row>
    <row r="124" spans="1:65" ht="24.75" customHeight="1">
      <c r="A124" s="122" t="s">
        <v>71</v>
      </c>
      <c r="B124" s="209">
        <f>SUM(B125:B129)</f>
        <v>2238324.11</v>
      </c>
      <c r="C124" s="84">
        <f>SUM(C125:C129)</f>
        <v>2725040.88</v>
      </c>
      <c r="D124" s="195">
        <f>SUM(D125:D129)</f>
        <v>2806613.33</v>
      </c>
      <c r="E124" s="64">
        <f aca="true" t="shared" si="24" ref="E124:U124">SUM(E125:E129)</f>
        <v>246921.52</v>
      </c>
      <c r="F124" s="64">
        <f>SUM(F104:F123)</f>
        <v>294273.6</v>
      </c>
      <c r="G124" s="64">
        <f t="shared" si="24"/>
        <v>0</v>
      </c>
      <c r="H124" s="64">
        <f t="shared" si="24"/>
        <v>0</v>
      </c>
      <c r="I124" s="64">
        <f t="shared" si="24"/>
        <v>0</v>
      </c>
      <c r="J124" s="64">
        <f t="shared" si="24"/>
        <v>0</v>
      </c>
      <c r="K124" s="64">
        <f t="shared" si="24"/>
        <v>0</v>
      </c>
      <c r="L124" s="64">
        <f t="shared" si="24"/>
        <v>0</v>
      </c>
      <c r="M124" s="64">
        <f t="shared" si="24"/>
        <v>0</v>
      </c>
      <c r="N124" s="64">
        <f t="shared" si="24"/>
        <v>0</v>
      </c>
      <c r="O124" s="64">
        <f t="shared" si="24"/>
        <v>0</v>
      </c>
      <c r="P124" s="64">
        <f t="shared" si="24"/>
        <v>0</v>
      </c>
      <c r="Q124" s="15">
        <f t="shared" si="13"/>
        <v>541195.12</v>
      </c>
      <c r="R124" s="171">
        <f t="shared" si="21"/>
        <v>19.282852903716524</v>
      </c>
      <c r="S124" s="64">
        <f t="shared" si="24"/>
        <v>233884.4441666667</v>
      </c>
      <c r="T124" s="87">
        <f t="shared" si="12"/>
        <v>45099.59333333333</v>
      </c>
      <c r="U124" s="64">
        <f t="shared" si="24"/>
        <v>195812.8808333334</v>
      </c>
      <c r="V124" s="65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</row>
    <row r="125" spans="1:65" s="93" customFormat="1" ht="24.75" customHeight="1">
      <c r="A125" s="135" t="s">
        <v>72</v>
      </c>
      <c r="B125" s="206">
        <v>2000000</v>
      </c>
      <c r="C125" s="138">
        <v>2561813.97</v>
      </c>
      <c r="D125" s="134">
        <v>2561813.97</v>
      </c>
      <c r="E125" s="21">
        <v>213223.86</v>
      </c>
      <c r="F125" s="21">
        <v>199430.12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15">
        <f t="shared" si="13"/>
        <v>412653.98</v>
      </c>
      <c r="R125" s="171">
        <f t="shared" si="21"/>
        <v>16.10788233776397</v>
      </c>
      <c r="S125" s="24">
        <f t="shared" si="15"/>
        <v>213484.49750000003</v>
      </c>
      <c r="T125" s="87">
        <f t="shared" si="12"/>
        <v>34387.831666666665</v>
      </c>
      <c r="U125" s="24">
        <f t="shared" si="16"/>
        <v>179096.66583333336</v>
      </c>
      <c r="V125" s="28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</row>
    <row r="126" spans="1:65" ht="24.75" customHeight="1">
      <c r="A126" s="135" t="s">
        <v>73</v>
      </c>
      <c r="B126" s="206">
        <v>0</v>
      </c>
      <c r="C126" s="141">
        <v>218</v>
      </c>
      <c r="D126" s="134"/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15">
        <f t="shared" si="13"/>
        <v>0</v>
      </c>
      <c r="R126" s="171" t="e">
        <f t="shared" si="21"/>
        <v>#DIV/0!</v>
      </c>
      <c r="S126" s="24">
        <f t="shared" si="15"/>
        <v>0</v>
      </c>
      <c r="T126" s="87">
        <f t="shared" si="12"/>
        <v>0</v>
      </c>
      <c r="U126" s="24">
        <f t="shared" si="16"/>
        <v>0</v>
      </c>
      <c r="V126" s="28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</row>
    <row r="127" spans="1:65" ht="24.75" customHeight="1">
      <c r="A127" s="135" t="s">
        <v>74</v>
      </c>
      <c r="B127" s="206">
        <v>71302.03</v>
      </c>
      <c r="C127" s="141">
        <v>78622.36</v>
      </c>
      <c r="D127" s="134">
        <v>78622.36</v>
      </c>
      <c r="E127" s="21">
        <v>5956.32</v>
      </c>
      <c r="F127" s="22">
        <v>4963.52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15">
        <f t="shared" si="13"/>
        <v>10919.84</v>
      </c>
      <c r="R127" s="171">
        <f t="shared" si="21"/>
        <v>13.888975095634372</v>
      </c>
      <c r="S127" s="24">
        <f t="shared" si="15"/>
        <v>6551.863333333334</v>
      </c>
      <c r="T127" s="87">
        <f t="shared" si="12"/>
        <v>909.9866666666667</v>
      </c>
      <c r="U127" s="24">
        <f t="shared" si="16"/>
        <v>5641.876666666667</v>
      </c>
      <c r="V127" s="28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</row>
    <row r="128" spans="1:65" ht="24.75" customHeight="1">
      <c r="A128" s="135" t="s">
        <v>75</v>
      </c>
      <c r="B128" s="206">
        <v>152269.08</v>
      </c>
      <c r="C128" s="138">
        <v>70478.55</v>
      </c>
      <c r="D128" s="134">
        <v>152269</v>
      </c>
      <c r="E128" s="21">
        <v>26604.34</v>
      </c>
      <c r="F128" s="21">
        <v>4686.6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15">
        <f t="shared" si="13"/>
        <v>31290.940000000002</v>
      </c>
      <c r="R128" s="171">
        <f t="shared" si="21"/>
        <v>20.549777039318574</v>
      </c>
      <c r="S128" s="24">
        <f t="shared" si="15"/>
        <v>12689.083333333334</v>
      </c>
      <c r="T128" s="87">
        <f t="shared" si="12"/>
        <v>2607.5783333333334</v>
      </c>
      <c r="U128" s="24">
        <f t="shared" si="16"/>
        <v>10081.505000000001</v>
      </c>
      <c r="V128" s="28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</row>
    <row r="129" spans="1:65" ht="24.75" customHeight="1">
      <c r="A129" s="135" t="s">
        <v>76</v>
      </c>
      <c r="B129" s="206">
        <v>14753</v>
      </c>
      <c r="C129" s="141">
        <v>13908</v>
      </c>
      <c r="D129" s="134">
        <v>13908</v>
      </c>
      <c r="E129" s="38">
        <v>1137</v>
      </c>
      <c r="F129" s="22">
        <v>857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15">
        <f t="shared" si="13"/>
        <v>1994</v>
      </c>
      <c r="R129" s="171">
        <f t="shared" si="21"/>
        <v>14.337072188668392</v>
      </c>
      <c r="S129" s="24">
        <f t="shared" si="15"/>
        <v>1159</v>
      </c>
      <c r="T129" s="87">
        <f t="shared" si="12"/>
        <v>166.16666666666666</v>
      </c>
      <c r="U129" s="24">
        <f t="shared" si="16"/>
        <v>992.8333333333334</v>
      </c>
      <c r="V129" s="65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</row>
    <row r="130" spans="1:65" ht="24.75" customHeight="1">
      <c r="A130" s="122" t="s">
        <v>77</v>
      </c>
      <c r="B130" s="84">
        <f>SUM(B131:B138)+B149</f>
        <v>18909623.422533337</v>
      </c>
      <c r="C130" s="84">
        <f>SUM(C131:C138)+C149</f>
        <v>18536584.39</v>
      </c>
      <c r="D130" s="195">
        <f>D131+D132+D133+D134+D135+D136+D137+D138+D149</f>
        <v>20738064</v>
      </c>
      <c r="E130" s="64">
        <f aca="true" t="shared" si="25" ref="E130:S130">SUM(E131:E138)+E159</f>
        <v>1472630.3900000001</v>
      </c>
      <c r="F130" s="64">
        <f t="shared" si="25"/>
        <v>1621693.6099999999</v>
      </c>
      <c r="G130" s="64">
        <f t="shared" si="25"/>
        <v>0</v>
      </c>
      <c r="H130" s="64">
        <f t="shared" si="25"/>
        <v>0</v>
      </c>
      <c r="I130" s="64">
        <f t="shared" si="25"/>
        <v>0</v>
      </c>
      <c r="J130" s="64">
        <f t="shared" si="25"/>
        <v>0</v>
      </c>
      <c r="K130" s="64">
        <f t="shared" si="25"/>
        <v>0</v>
      </c>
      <c r="L130" s="64">
        <f t="shared" si="25"/>
        <v>0</v>
      </c>
      <c r="M130" s="64">
        <f t="shared" si="25"/>
        <v>0</v>
      </c>
      <c r="N130" s="64">
        <f t="shared" si="25"/>
        <v>0</v>
      </c>
      <c r="O130" s="64">
        <f t="shared" si="25"/>
        <v>0</v>
      </c>
      <c r="P130" s="64">
        <f t="shared" si="25"/>
        <v>0</v>
      </c>
      <c r="Q130" s="15">
        <f t="shared" si="13"/>
        <v>3094324</v>
      </c>
      <c r="R130" s="171">
        <f t="shared" si="21"/>
        <v>14.920987802911593</v>
      </c>
      <c r="S130" s="64">
        <f t="shared" si="25"/>
        <v>1395523.9166666667</v>
      </c>
      <c r="T130" s="87">
        <f t="shared" si="12"/>
        <v>257860.33333333334</v>
      </c>
      <c r="U130" s="64">
        <f>SUM(U131:U138)+U159</f>
        <v>1168430.6258333335</v>
      </c>
      <c r="V130" s="28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</row>
    <row r="131" spans="1:65" s="93" customFormat="1" ht="24.75" customHeight="1">
      <c r="A131" s="135" t="s">
        <v>78</v>
      </c>
      <c r="B131" s="206">
        <v>7533380.672533336</v>
      </c>
      <c r="C131" s="141">
        <v>8493924.92</v>
      </c>
      <c r="D131" s="197">
        <v>9000000</v>
      </c>
      <c r="E131" s="21">
        <v>738114.05</v>
      </c>
      <c r="F131" s="22">
        <v>888160.48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15">
        <f t="shared" si="13"/>
        <v>1626274.53</v>
      </c>
      <c r="R131" s="171">
        <f t="shared" si="21"/>
        <v>18.069717</v>
      </c>
      <c r="S131" s="24">
        <f t="shared" si="15"/>
        <v>750000</v>
      </c>
      <c r="T131" s="87">
        <f t="shared" si="12"/>
        <v>135522.8775</v>
      </c>
      <c r="U131" s="24">
        <f t="shared" si="16"/>
        <v>614477.1225</v>
      </c>
      <c r="V131" s="28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</row>
    <row r="132" spans="1:65" ht="24.75" customHeight="1">
      <c r="A132" s="135" t="s">
        <v>364</v>
      </c>
      <c r="B132" s="206">
        <v>0</v>
      </c>
      <c r="C132" s="138">
        <v>409912.05</v>
      </c>
      <c r="D132" s="134"/>
      <c r="E132" s="21">
        <v>6377.7</v>
      </c>
      <c r="F132" s="21">
        <v>10272.85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15">
        <f t="shared" si="13"/>
        <v>16650.55</v>
      </c>
      <c r="R132" s="171" t="e">
        <f t="shared" si="21"/>
        <v>#DIV/0!</v>
      </c>
      <c r="S132" s="24">
        <f t="shared" si="15"/>
        <v>0</v>
      </c>
      <c r="T132" s="87">
        <f t="shared" si="12"/>
        <v>1387.5458333333333</v>
      </c>
      <c r="U132" s="24">
        <f t="shared" si="16"/>
        <v>-1387.5458333333333</v>
      </c>
      <c r="V132" s="28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</row>
    <row r="133" spans="1:65" ht="24.75" customHeight="1">
      <c r="A133" s="135" t="s">
        <v>80</v>
      </c>
      <c r="B133" s="206">
        <v>2204906.29</v>
      </c>
      <c r="C133" s="141">
        <v>1796203.26</v>
      </c>
      <c r="D133" s="134">
        <v>2590000</v>
      </c>
      <c r="E133" s="21">
        <v>185797.64</v>
      </c>
      <c r="F133" s="22">
        <v>179474.02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15">
        <f t="shared" si="13"/>
        <v>365271.66000000003</v>
      </c>
      <c r="R133" s="171">
        <f t="shared" si="21"/>
        <v>14.103152895752896</v>
      </c>
      <c r="S133" s="24">
        <f t="shared" si="15"/>
        <v>215833.33333333334</v>
      </c>
      <c r="T133" s="87">
        <f aca="true" t="shared" si="26" ref="T133:T173">Q133/12</f>
        <v>30439.305000000004</v>
      </c>
      <c r="U133" s="24">
        <f t="shared" si="16"/>
        <v>185394.02833333335</v>
      </c>
      <c r="V133" s="28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</row>
    <row r="134" spans="1:65" ht="24.75" customHeight="1">
      <c r="A134" s="135" t="s">
        <v>81</v>
      </c>
      <c r="B134" s="206">
        <v>2828106</v>
      </c>
      <c r="C134" s="138">
        <v>3207359</v>
      </c>
      <c r="D134" s="134">
        <v>3739942</v>
      </c>
      <c r="E134" s="21">
        <v>282980</v>
      </c>
      <c r="F134" s="21">
        <v>224023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15">
        <f t="shared" si="13"/>
        <v>507003</v>
      </c>
      <c r="R134" s="171">
        <f t="shared" si="21"/>
        <v>13.556440180088355</v>
      </c>
      <c r="S134" s="24">
        <f t="shared" si="15"/>
        <v>311661.8333333333</v>
      </c>
      <c r="T134" s="87">
        <f t="shared" si="26"/>
        <v>42250.25</v>
      </c>
      <c r="U134" s="24">
        <f t="shared" si="16"/>
        <v>269411.5833333333</v>
      </c>
      <c r="V134" s="28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</row>
    <row r="135" spans="1:65" ht="24.75" customHeight="1">
      <c r="A135" s="135" t="s">
        <v>365</v>
      </c>
      <c r="B135" s="206">
        <v>636990</v>
      </c>
      <c r="C135" s="141">
        <v>210510</v>
      </c>
      <c r="D135" s="197">
        <v>400000</v>
      </c>
      <c r="E135" s="38">
        <v>24720</v>
      </c>
      <c r="F135" s="22">
        <v>30450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15">
        <f aca="true" t="shared" si="27" ref="Q135:Q173">SUM(E135:P135)</f>
        <v>55170</v>
      </c>
      <c r="R135" s="171">
        <f t="shared" si="21"/>
        <v>13.7925</v>
      </c>
      <c r="S135" s="24">
        <f t="shared" si="15"/>
        <v>33333.333333333336</v>
      </c>
      <c r="T135" s="87">
        <f t="shared" si="26"/>
        <v>4597.5</v>
      </c>
      <c r="U135" s="24">
        <f t="shared" si="16"/>
        <v>28735.833333333336</v>
      </c>
      <c r="V135" s="28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</row>
    <row r="136" spans="1:65" s="99" customFormat="1" ht="24.75" customHeight="1">
      <c r="A136" s="135" t="s">
        <v>83</v>
      </c>
      <c r="B136" s="206">
        <v>500238.30000000005</v>
      </c>
      <c r="C136" s="141">
        <v>257554.79</v>
      </c>
      <c r="D136" s="134">
        <v>350000</v>
      </c>
      <c r="E136" s="38">
        <v>25971.3</v>
      </c>
      <c r="F136" s="22">
        <v>17928.45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15">
        <f t="shared" si="27"/>
        <v>43899.75</v>
      </c>
      <c r="R136" s="171">
        <f t="shared" si="21"/>
        <v>12.542785714285714</v>
      </c>
      <c r="S136" s="24">
        <f t="shared" si="15"/>
        <v>29166.666666666668</v>
      </c>
      <c r="T136" s="87">
        <f t="shared" si="26"/>
        <v>3658.3125</v>
      </c>
      <c r="U136" s="24">
        <f t="shared" si="16"/>
        <v>25508.354166666668</v>
      </c>
      <c r="V136" s="28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</row>
    <row r="137" spans="1:65" s="102" customFormat="1" ht="24.75" customHeight="1">
      <c r="A137" s="135" t="s">
        <v>84</v>
      </c>
      <c r="B137" s="206">
        <v>610400</v>
      </c>
      <c r="C137" s="141">
        <v>666345</v>
      </c>
      <c r="D137" s="134">
        <v>666345</v>
      </c>
      <c r="E137" s="38">
        <v>58910</v>
      </c>
      <c r="F137" s="22">
        <v>51940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15">
        <f t="shared" si="27"/>
        <v>110850</v>
      </c>
      <c r="R137" s="171">
        <f t="shared" si="21"/>
        <v>16.635526641604574</v>
      </c>
      <c r="S137" s="24">
        <f t="shared" si="15"/>
        <v>55528.75</v>
      </c>
      <c r="T137" s="87">
        <f t="shared" si="26"/>
        <v>9237.5</v>
      </c>
      <c r="U137" s="24">
        <f t="shared" si="16"/>
        <v>46291.25</v>
      </c>
      <c r="V137" s="28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</row>
    <row r="138" spans="1:65" s="102" customFormat="1" ht="24.75" customHeight="1">
      <c r="A138" s="135" t="s">
        <v>85</v>
      </c>
      <c r="B138" s="203">
        <v>4390943.16</v>
      </c>
      <c r="C138" s="150">
        <f>SUM(C139:C148)</f>
        <v>3241396.87</v>
      </c>
      <c r="D138" s="150">
        <f>SUM(D139:D148)</f>
        <v>3725729</v>
      </c>
      <c r="E138" s="83">
        <f aca="true" t="shared" si="28" ref="E138:U138">SUM(E139:E148)</f>
        <v>149759.7</v>
      </c>
      <c r="F138" s="83">
        <f t="shared" si="28"/>
        <v>219444.81</v>
      </c>
      <c r="G138" s="83">
        <f t="shared" si="28"/>
        <v>0</v>
      </c>
      <c r="H138" s="83">
        <f t="shared" si="28"/>
        <v>0</v>
      </c>
      <c r="I138" s="83">
        <f t="shared" si="28"/>
        <v>0</v>
      </c>
      <c r="J138" s="83">
        <f t="shared" si="28"/>
        <v>0</v>
      </c>
      <c r="K138" s="83">
        <f t="shared" si="28"/>
        <v>0</v>
      </c>
      <c r="L138" s="83">
        <f t="shared" si="28"/>
        <v>0</v>
      </c>
      <c r="M138" s="83">
        <f t="shared" si="28"/>
        <v>0</v>
      </c>
      <c r="N138" s="83">
        <f t="shared" si="28"/>
        <v>0</v>
      </c>
      <c r="O138" s="83">
        <f t="shared" si="28"/>
        <v>0</v>
      </c>
      <c r="P138" s="83">
        <f t="shared" si="28"/>
        <v>0</v>
      </c>
      <c r="Q138" s="15">
        <f t="shared" si="27"/>
        <v>369204.51</v>
      </c>
      <c r="R138" s="171">
        <f t="shared" si="21"/>
        <v>9.90959111626208</v>
      </c>
      <c r="S138" s="83">
        <f t="shared" si="28"/>
        <v>0</v>
      </c>
      <c r="T138" s="83">
        <f t="shared" si="28"/>
        <v>30767.0425</v>
      </c>
      <c r="U138" s="83">
        <f t="shared" si="28"/>
        <v>0</v>
      </c>
      <c r="V138" s="28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</row>
    <row r="139" spans="1:141" s="6" customFormat="1" ht="23.25" customHeight="1">
      <c r="A139" s="153" t="s">
        <v>150</v>
      </c>
      <c r="B139" s="206"/>
      <c r="C139" s="138">
        <v>544042.37</v>
      </c>
      <c r="D139" s="134">
        <v>600000</v>
      </c>
      <c r="E139" s="376"/>
      <c r="F139" s="22">
        <v>26826.21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15">
        <f t="shared" si="27"/>
        <v>26826.21</v>
      </c>
      <c r="R139" s="171">
        <f t="shared" si="21"/>
        <v>4.471035</v>
      </c>
      <c r="S139" s="24"/>
      <c r="T139" s="87">
        <f t="shared" si="26"/>
        <v>2235.5175</v>
      </c>
      <c r="U139" s="24"/>
      <c r="V139" s="28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</row>
    <row r="140" spans="1:141" s="6" customFormat="1" ht="23.25" customHeight="1">
      <c r="A140" s="153" t="s">
        <v>200</v>
      </c>
      <c r="B140" s="153"/>
      <c r="C140" s="168">
        <v>5502.5</v>
      </c>
      <c r="D140" s="134">
        <v>6000</v>
      </c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15">
        <f t="shared" si="27"/>
        <v>0</v>
      </c>
      <c r="R140" s="171">
        <f t="shared" si="21"/>
        <v>0</v>
      </c>
      <c r="S140" s="24"/>
      <c r="T140" s="87">
        <f t="shared" si="26"/>
        <v>0</v>
      </c>
      <c r="U140" s="24"/>
      <c r="V140" s="28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</row>
    <row r="141" spans="1:141" s="6" customFormat="1" ht="23.25" customHeight="1">
      <c r="A141" s="153" t="s">
        <v>201</v>
      </c>
      <c r="B141" s="153"/>
      <c r="C141" s="168">
        <v>114456.4</v>
      </c>
      <c r="D141" s="134">
        <v>120180</v>
      </c>
      <c r="E141" s="21">
        <v>2505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15">
        <f t="shared" si="27"/>
        <v>2505</v>
      </c>
      <c r="R141" s="171">
        <f t="shared" si="21"/>
        <v>2.0843734398402396</v>
      </c>
      <c r="S141" s="24"/>
      <c r="T141" s="87">
        <f t="shared" si="26"/>
        <v>208.75</v>
      </c>
      <c r="U141" s="24"/>
      <c r="V141" s="28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</row>
    <row r="142" spans="1:141" s="6" customFormat="1" ht="23.25" customHeight="1">
      <c r="A142" s="153" t="s">
        <v>202</v>
      </c>
      <c r="B142" s="153"/>
      <c r="C142" s="168">
        <v>59652</v>
      </c>
      <c r="D142" s="134">
        <v>62635</v>
      </c>
      <c r="E142" s="21"/>
      <c r="F142" s="22">
        <v>1300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15">
        <f t="shared" si="27"/>
        <v>1300</v>
      </c>
      <c r="R142" s="171">
        <f t="shared" si="21"/>
        <v>2.075516883531572</v>
      </c>
      <c r="S142" s="24"/>
      <c r="T142" s="87">
        <f t="shared" si="26"/>
        <v>108.33333333333333</v>
      </c>
      <c r="U142" s="24"/>
      <c r="V142" s="28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</row>
    <row r="143" spans="1:141" s="6" customFormat="1" ht="23.25" customHeight="1">
      <c r="A143" s="153" t="s">
        <v>203</v>
      </c>
      <c r="B143" s="153"/>
      <c r="C143" s="138">
        <v>263241.5</v>
      </c>
      <c r="D143" s="134">
        <v>300000</v>
      </c>
      <c r="E143" s="376">
        <v>19800</v>
      </c>
      <c r="F143" s="22">
        <v>6695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15">
        <f t="shared" si="27"/>
        <v>26495</v>
      </c>
      <c r="R143" s="171">
        <f t="shared" si="21"/>
        <v>8.831666666666667</v>
      </c>
      <c r="S143" s="24"/>
      <c r="T143" s="87">
        <f t="shared" si="26"/>
        <v>2207.9166666666665</v>
      </c>
      <c r="U143" s="24"/>
      <c r="V143" s="28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</row>
    <row r="144" spans="1:141" s="6" customFormat="1" ht="23.25" customHeight="1">
      <c r="A144" s="153" t="s">
        <v>204</v>
      </c>
      <c r="B144" s="153"/>
      <c r="C144" s="138">
        <v>656804.85</v>
      </c>
      <c r="D144" s="134">
        <v>700000</v>
      </c>
      <c r="E144" s="376">
        <v>5658.7</v>
      </c>
      <c r="F144" s="22">
        <v>42172.6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15">
        <f t="shared" si="27"/>
        <v>47831.299999999996</v>
      </c>
      <c r="R144" s="171">
        <f t="shared" si="21"/>
        <v>6.833042857142857</v>
      </c>
      <c r="S144" s="24"/>
      <c r="T144" s="87">
        <f t="shared" si="26"/>
        <v>3985.941666666666</v>
      </c>
      <c r="U144" s="24"/>
      <c r="V144" s="28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</row>
    <row r="145" spans="1:141" s="6" customFormat="1" ht="23.25" customHeight="1">
      <c r="A145" s="153" t="s">
        <v>205</v>
      </c>
      <c r="B145" s="153"/>
      <c r="C145" s="138">
        <v>1171706</v>
      </c>
      <c r="D145" s="134">
        <v>1171706</v>
      </c>
      <c r="E145" s="111">
        <v>114843</v>
      </c>
      <c r="F145" s="22">
        <v>113252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15">
        <f t="shared" si="27"/>
        <v>228095</v>
      </c>
      <c r="R145" s="171">
        <f t="shared" si="21"/>
        <v>19.466914055232284</v>
      </c>
      <c r="S145" s="24"/>
      <c r="T145" s="87">
        <f t="shared" si="26"/>
        <v>19007.916666666668</v>
      </c>
      <c r="U145" s="24"/>
      <c r="V145" s="28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</row>
    <row r="146" spans="1:141" s="6" customFormat="1" ht="23.25" customHeight="1">
      <c r="A146" s="153" t="s">
        <v>206</v>
      </c>
      <c r="B146" s="153"/>
      <c r="C146" s="168">
        <v>26780</v>
      </c>
      <c r="D146" s="134">
        <v>300000</v>
      </c>
      <c r="E146" s="21">
        <v>2400</v>
      </c>
      <c r="F146" s="22">
        <v>4800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15">
        <f t="shared" si="27"/>
        <v>7200</v>
      </c>
      <c r="R146" s="171">
        <f t="shared" si="21"/>
        <v>2.4</v>
      </c>
      <c r="S146" s="24"/>
      <c r="T146" s="87">
        <f t="shared" si="26"/>
        <v>600</v>
      </c>
      <c r="U146" s="24"/>
      <c r="V146" s="28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</row>
    <row r="147" spans="1:141" s="6" customFormat="1" ht="23.25" customHeight="1">
      <c r="A147" s="153" t="s">
        <v>207</v>
      </c>
      <c r="B147" s="153"/>
      <c r="C147" s="168">
        <v>204959.4</v>
      </c>
      <c r="D147" s="134">
        <v>215208</v>
      </c>
      <c r="E147" s="21">
        <v>1330</v>
      </c>
      <c r="F147" s="22">
        <v>2341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15">
        <f t="shared" si="27"/>
        <v>3671</v>
      </c>
      <c r="R147" s="171">
        <f t="shared" si="21"/>
        <v>1.7057916062599903</v>
      </c>
      <c r="S147" s="24"/>
      <c r="T147" s="87">
        <f t="shared" si="26"/>
        <v>305.9166666666667</v>
      </c>
      <c r="U147" s="24"/>
      <c r="V147" s="28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</row>
    <row r="148" spans="1:141" s="6" customFormat="1" ht="23.25" customHeight="1">
      <c r="A148" s="153" t="s">
        <v>208</v>
      </c>
      <c r="B148" s="153"/>
      <c r="C148" s="138">
        <v>194251.85</v>
      </c>
      <c r="D148" s="134">
        <v>250000</v>
      </c>
      <c r="E148" s="21">
        <v>3223</v>
      </c>
      <c r="F148" s="22">
        <v>22058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15">
        <f t="shared" si="27"/>
        <v>25281</v>
      </c>
      <c r="R148" s="171">
        <f t="shared" si="21"/>
        <v>10.1124</v>
      </c>
      <c r="S148" s="24"/>
      <c r="T148" s="87">
        <f t="shared" si="26"/>
        <v>2106.75</v>
      </c>
      <c r="U148" s="24"/>
      <c r="V148" s="28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</row>
    <row r="149" spans="1:65" ht="24.75" customHeight="1">
      <c r="A149" s="135" t="s">
        <v>86</v>
      </c>
      <c r="B149" s="206">
        <v>204659</v>
      </c>
      <c r="C149" s="138">
        <v>253378.5</v>
      </c>
      <c r="D149" s="134">
        <v>266048</v>
      </c>
      <c r="E149" s="21">
        <v>7930</v>
      </c>
      <c r="F149" s="22">
        <v>29330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15">
        <f t="shared" si="27"/>
        <v>37260</v>
      </c>
      <c r="R149" s="171">
        <f t="shared" si="21"/>
        <v>14.004991580466683</v>
      </c>
      <c r="S149" s="24"/>
      <c r="T149" s="87">
        <f t="shared" si="26"/>
        <v>3105</v>
      </c>
      <c r="U149" s="24"/>
      <c r="V149" s="28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</row>
    <row r="150" spans="1:65" ht="24.75" customHeight="1">
      <c r="A150" s="122" t="s">
        <v>87</v>
      </c>
      <c r="B150" s="209">
        <f>SUM(B151:B155)</f>
        <v>8294158.25</v>
      </c>
      <c r="C150" s="150">
        <f>SUM(C151:C155)</f>
        <v>11546093.95</v>
      </c>
      <c r="D150" s="196">
        <f aca="true" t="shared" si="29" ref="D150:U150">SUM(D151:D155)</f>
        <v>3752764.65</v>
      </c>
      <c r="E150" s="83">
        <f t="shared" si="29"/>
        <v>872194.95</v>
      </c>
      <c r="F150" s="83">
        <f t="shared" si="29"/>
        <v>1019607.87</v>
      </c>
      <c r="G150" s="83">
        <f t="shared" si="29"/>
        <v>0</v>
      </c>
      <c r="H150" s="83">
        <f t="shared" si="29"/>
        <v>0</v>
      </c>
      <c r="I150" s="83">
        <f t="shared" si="29"/>
        <v>0</v>
      </c>
      <c r="J150" s="83">
        <f t="shared" si="29"/>
        <v>0</v>
      </c>
      <c r="K150" s="83">
        <f t="shared" si="29"/>
        <v>0</v>
      </c>
      <c r="L150" s="83">
        <f t="shared" si="29"/>
        <v>0</v>
      </c>
      <c r="M150" s="83">
        <f t="shared" si="29"/>
        <v>0</v>
      </c>
      <c r="N150" s="83">
        <f t="shared" si="29"/>
        <v>0</v>
      </c>
      <c r="O150" s="83">
        <f t="shared" si="29"/>
        <v>0</v>
      </c>
      <c r="P150" s="83">
        <f t="shared" si="29"/>
        <v>0</v>
      </c>
      <c r="Q150" s="15">
        <f t="shared" si="27"/>
        <v>1891802.8199999998</v>
      </c>
      <c r="R150" s="171">
        <f t="shared" si="21"/>
        <v>50.41091026051953</v>
      </c>
      <c r="S150" s="83">
        <f t="shared" si="29"/>
        <v>0</v>
      </c>
      <c r="T150" s="87">
        <f t="shared" si="26"/>
        <v>157650.235</v>
      </c>
      <c r="U150" s="83">
        <f t="shared" si="29"/>
        <v>0</v>
      </c>
      <c r="V150" s="28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</row>
    <row r="151" spans="1:65" s="103" customFormat="1" ht="24.75" customHeight="1">
      <c r="A151" s="122" t="s">
        <v>88</v>
      </c>
      <c r="B151" s="206">
        <v>7859075</v>
      </c>
      <c r="C151" s="138">
        <f>11534336.95-C152</f>
        <v>10959844.299999999</v>
      </c>
      <c r="D151" s="197">
        <v>3166515</v>
      </c>
      <c r="E151" s="21">
        <v>870831.95</v>
      </c>
      <c r="F151" s="22">
        <v>1019607.87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15">
        <f t="shared" si="27"/>
        <v>1890439.8199999998</v>
      </c>
      <c r="R151" s="171">
        <f t="shared" si="21"/>
        <v>59.700958940665046</v>
      </c>
      <c r="S151" s="24"/>
      <c r="T151" s="87">
        <f t="shared" si="26"/>
        <v>157536.65166666664</v>
      </c>
      <c r="U151" s="24"/>
      <c r="V151" s="28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</row>
    <row r="152" spans="1:65" s="102" customFormat="1" ht="24.75" customHeight="1">
      <c r="A152" s="135" t="s">
        <v>89</v>
      </c>
      <c r="B152" s="206">
        <v>431888.25</v>
      </c>
      <c r="C152" s="138">
        <v>574492.65</v>
      </c>
      <c r="D152" s="134">
        <f>25813+548679.65</f>
        <v>574492.65</v>
      </c>
      <c r="E152" s="21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15">
        <f t="shared" si="27"/>
        <v>0</v>
      </c>
      <c r="R152" s="171">
        <f t="shared" si="21"/>
        <v>0</v>
      </c>
      <c r="S152" s="24"/>
      <c r="T152" s="87">
        <f t="shared" si="26"/>
        <v>0</v>
      </c>
      <c r="U152" s="24"/>
      <c r="V152" s="28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</row>
    <row r="153" spans="1:65" ht="24.75" customHeight="1">
      <c r="A153" s="135" t="s">
        <v>90</v>
      </c>
      <c r="B153" s="206">
        <v>0</v>
      </c>
      <c r="C153" s="138"/>
      <c r="D153" s="134"/>
      <c r="E153" s="21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15">
        <f t="shared" si="27"/>
        <v>0</v>
      </c>
      <c r="R153" s="171" t="e">
        <f t="shared" si="21"/>
        <v>#DIV/0!</v>
      </c>
      <c r="S153" s="24"/>
      <c r="T153" s="87">
        <f t="shared" si="26"/>
        <v>0</v>
      </c>
      <c r="U153" s="24"/>
      <c r="V153" s="28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</row>
    <row r="154" spans="1:65" ht="24.75" customHeight="1">
      <c r="A154" s="135" t="s">
        <v>91</v>
      </c>
      <c r="B154" s="206">
        <v>3195</v>
      </c>
      <c r="C154" s="138">
        <v>11757</v>
      </c>
      <c r="D154" s="134">
        <v>11757</v>
      </c>
      <c r="E154" s="21">
        <v>1363</v>
      </c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15">
        <f t="shared" si="27"/>
        <v>1363</v>
      </c>
      <c r="R154" s="171">
        <f t="shared" si="21"/>
        <v>11.593093476226928</v>
      </c>
      <c r="S154" s="24"/>
      <c r="T154" s="87">
        <f t="shared" si="26"/>
        <v>113.58333333333333</v>
      </c>
      <c r="U154" s="24"/>
      <c r="V154" s="28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</row>
    <row r="155" spans="1:65" ht="24.75" customHeight="1">
      <c r="A155" s="135" t="s">
        <v>92</v>
      </c>
      <c r="B155" s="206"/>
      <c r="C155" s="138"/>
      <c r="D155" s="134"/>
      <c r="E155" s="21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15">
        <f t="shared" si="27"/>
        <v>0</v>
      </c>
      <c r="R155" s="171" t="e">
        <f t="shared" si="21"/>
        <v>#DIV/0!</v>
      </c>
      <c r="S155" s="24"/>
      <c r="T155" s="87">
        <f t="shared" si="26"/>
        <v>0</v>
      </c>
      <c r="U155" s="24"/>
      <c r="V155" s="28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</row>
    <row r="156" spans="1:65" ht="24.75" customHeight="1">
      <c r="A156" s="122" t="s">
        <v>93</v>
      </c>
      <c r="B156" s="209">
        <f>SUM(B157:B159)</f>
        <v>2738010</v>
      </c>
      <c r="C156" s="150">
        <f>SUM(C157:C159)</f>
        <v>5783508.49</v>
      </c>
      <c r="D156" s="196">
        <f aca="true" t="shared" si="30" ref="D156:U156">SUM(D157:D159)</f>
        <v>321360.96000000014</v>
      </c>
      <c r="E156" s="83">
        <f t="shared" si="30"/>
        <v>555200</v>
      </c>
      <c r="F156" s="83">
        <f t="shared" si="30"/>
        <v>217300</v>
      </c>
      <c r="G156" s="83">
        <f t="shared" si="30"/>
        <v>0</v>
      </c>
      <c r="H156" s="83">
        <f t="shared" si="30"/>
        <v>0</v>
      </c>
      <c r="I156" s="83"/>
      <c r="J156" s="83">
        <f t="shared" si="30"/>
        <v>0</v>
      </c>
      <c r="K156" s="83">
        <f t="shared" si="30"/>
        <v>0</v>
      </c>
      <c r="L156" s="83">
        <f t="shared" si="30"/>
        <v>0</v>
      </c>
      <c r="M156" s="83">
        <f t="shared" si="30"/>
        <v>0</v>
      </c>
      <c r="N156" s="83">
        <f t="shared" si="30"/>
        <v>0</v>
      </c>
      <c r="O156" s="83">
        <f t="shared" si="30"/>
        <v>0</v>
      </c>
      <c r="P156" s="83">
        <f t="shared" si="30"/>
        <v>0</v>
      </c>
      <c r="Q156" s="15">
        <f t="shared" si="27"/>
        <v>772500</v>
      </c>
      <c r="R156" s="171">
        <f t="shared" si="21"/>
        <v>240.38389728484745</v>
      </c>
      <c r="S156" s="83">
        <f t="shared" si="30"/>
        <v>0</v>
      </c>
      <c r="T156" s="87">
        <f t="shared" si="26"/>
        <v>64375</v>
      </c>
      <c r="U156" s="83">
        <f t="shared" si="30"/>
        <v>0</v>
      </c>
      <c r="V156" s="28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</row>
    <row r="157" spans="1:65" s="93" customFormat="1" ht="24.75" customHeight="1">
      <c r="A157" s="135" t="s">
        <v>178</v>
      </c>
      <c r="B157" s="206">
        <v>0</v>
      </c>
      <c r="C157" s="138">
        <v>3015236.81</v>
      </c>
      <c r="D157" s="134">
        <v>0</v>
      </c>
      <c r="E157" s="21">
        <f>555200-E158</f>
        <v>530200</v>
      </c>
      <c r="F157" s="22">
        <v>196400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15">
        <f t="shared" si="27"/>
        <v>726600</v>
      </c>
      <c r="R157" s="171" t="e">
        <f t="shared" si="21"/>
        <v>#DIV/0!</v>
      </c>
      <c r="S157" s="24"/>
      <c r="T157" s="87">
        <f t="shared" si="26"/>
        <v>60550</v>
      </c>
      <c r="U157" s="24"/>
      <c r="V157" s="28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</row>
    <row r="158" spans="1:65" ht="24.75" customHeight="1">
      <c r="A158" s="135" t="s">
        <v>179</v>
      </c>
      <c r="B158" s="208">
        <v>2738010</v>
      </c>
      <c r="C158" s="138">
        <v>2768271.68</v>
      </c>
      <c r="D158" s="134">
        <f>C182*20/100</f>
        <v>321360.96000000014</v>
      </c>
      <c r="E158" s="376">
        <v>25000</v>
      </c>
      <c r="F158" s="22">
        <v>20900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15">
        <f t="shared" si="27"/>
        <v>45900</v>
      </c>
      <c r="R158" s="171">
        <f t="shared" si="21"/>
        <v>14.28300438236181</v>
      </c>
      <c r="S158" s="24"/>
      <c r="T158" s="87">
        <f t="shared" si="26"/>
        <v>3825</v>
      </c>
      <c r="U158" s="24"/>
      <c r="V158" s="65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</row>
    <row r="159" spans="1:65" ht="24.75" customHeight="1">
      <c r="A159" s="135" t="s">
        <v>180</v>
      </c>
      <c r="B159" s="206"/>
      <c r="C159" s="141"/>
      <c r="D159" s="134"/>
      <c r="E159" s="2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15">
        <f t="shared" si="27"/>
        <v>0</v>
      </c>
      <c r="R159" s="171" t="e">
        <f t="shared" si="21"/>
        <v>#DIV/0!</v>
      </c>
      <c r="S159" s="24">
        <f t="shared" si="15"/>
        <v>0</v>
      </c>
      <c r="T159" s="87">
        <f t="shared" si="26"/>
        <v>0</v>
      </c>
      <c r="U159" s="24">
        <f t="shared" si="16"/>
        <v>0</v>
      </c>
      <c r="V159" s="28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</row>
    <row r="160" spans="1:65" ht="24.75" customHeight="1">
      <c r="A160" s="122" t="s">
        <v>94</v>
      </c>
      <c r="B160" s="209">
        <f>SUM(B161:B165)</f>
        <v>9960368.138533333</v>
      </c>
      <c r="C160" s="84">
        <f>SUM(C161:C165)</f>
        <v>9169126.850000001</v>
      </c>
      <c r="D160" s="195">
        <f>SUM(D161:D165)</f>
        <v>9148056.67</v>
      </c>
      <c r="E160" s="64">
        <f aca="true" t="shared" si="31" ref="E160:P160">SUM(E161:E165)</f>
        <v>233031.15</v>
      </c>
      <c r="F160" s="64">
        <f t="shared" si="31"/>
        <v>2160084.27</v>
      </c>
      <c r="G160" s="64">
        <f t="shared" si="31"/>
        <v>0</v>
      </c>
      <c r="H160" s="64">
        <f t="shared" si="31"/>
        <v>0</v>
      </c>
      <c r="I160" s="64"/>
      <c r="J160" s="64">
        <f t="shared" si="31"/>
        <v>0</v>
      </c>
      <c r="K160" s="64">
        <f t="shared" si="31"/>
        <v>0</v>
      </c>
      <c r="L160" s="64">
        <f t="shared" si="31"/>
        <v>0</v>
      </c>
      <c r="M160" s="64">
        <f t="shared" si="31"/>
        <v>0</v>
      </c>
      <c r="N160" s="64">
        <f t="shared" si="31"/>
        <v>0</v>
      </c>
      <c r="O160" s="64">
        <f t="shared" si="31"/>
        <v>0</v>
      </c>
      <c r="P160" s="64">
        <f t="shared" si="31"/>
        <v>0</v>
      </c>
      <c r="Q160" s="15">
        <f t="shared" si="27"/>
        <v>2393115.42</v>
      </c>
      <c r="R160" s="171">
        <f t="shared" si="21"/>
        <v>26.159822859951742</v>
      </c>
      <c r="S160" s="64">
        <f t="shared" si="15"/>
        <v>762338.0558333333</v>
      </c>
      <c r="T160" s="87">
        <f t="shared" si="26"/>
        <v>199426.285</v>
      </c>
      <c r="U160" s="64">
        <f t="shared" si="16"/>
        <v>562911.7708333333</v>
      </c>
      <c r="V160" s="28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</row>
    <row r="161" spans="1:65" s="93" customFormat="1" ht="24.75" customHeight="1">
      <c r="A161" s="135" t="s">
        <v>181</v>
      </c>
      <c r="B161" s="206">
        <v>3780911.05</v>
      </c>
      <c r="C161" s="141">
        <v>3870835</v>
      </c>
      <c r="D161" s="134">
        <v>4045200</v>
      </c>
      <c r="E161" s="21"/>
      <c r="F161" s="22">
        <v>1031691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15">
        <f t="shared" si="27"/>
        <v>1031691</v>
      </c>
      <c r="R161" s="171">
        <f t="shared" si="21"/>
        <v>25.504078908335806</v>
      </c>
      <c r="S161" s="24">
        <f t="shared" si="15"/>
        <v>337100</v>
      </c>
      <c r="T161" s="87">
        <f t="shared" si="26"/>
        <v>85974.25</v>
      </c>
      <c r="U161" s="24">
        <f t="shared" si="16"/>
        <v>251125.75</v>
      </c>
      <c r="V161" s="28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</row>
    <row r="162" spans="1:65" ht="24.75" customHeight="1">
      <c r="A162" s="135" t="s">
        <v>95</v>
      </c>
      <c r="B162" s="206">
        <v>3151622.188533333</v>
      </c>
      <c r="C162" s="141">
        <v>2554025.73</v>
      </c>
      <c r="D162" s="134">
        <v>2365894</v>
      </c>
      <c r="E162" s="21">
        <v>224256.15</v>
      </c>
      <c r="F162" s="22">
        <v>526340.27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15">
        <f t="shared" si="27"/>
        <v>750596.42</v>
      </c>
      <c r="R162" s="171">
        <f t="shared" si="21"/>
        <v>31.725699460753525</v>
      </c>
      <c r="S162" s="24">
        <f t="shared" si="15"/>
        <v>197157.83333333334</v>
      </c>
      <c r="T162" s="87">
        <f t="shared" si="26"/>
        <v>62549.70166666667</v>
      </c>
      <c r="U162" s="24">
        <f t="shared" si="16"/>
        <v>134608.13166666668</v>
      </c>
      <c r="V162" s="28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</row>
    <row r="163" spans="1:65" ht="24.75" customHeight="1">
      <c r="A163" s="135" t="s">
        <v>96</v>
      </c>
      <c r="B163" s="206">
        <v>0</v>
      </c>
      <c r="C163" s="141">
        <v>590217.92</v>
      </c>
      <c r="D163" s="134">
        <v>0</v>
      </c>
      <c r="E163" s="21"/>
      <c r="F163" s="22">
        <v>61400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15">
        <f t="shared" si="27"/>
        <v>61400</v>
      </c>
      <c r="R163" s="171" t="e">
        <f t="shared" si="21"/>
        <v>#DIV/0!</v>
      </c>
      <c r="S163" s="24">
        <f t="shared" si="15"/>
        <v>0</v>
      </c>
      <c r="T163" s="87">
        <f t="shared" si="26"/>
        <v>5116.666666666667</v>
      </c>
      <c r="U163" s="24">
        <f t="shared" si="16"/>
        <v>-5116.666666666667</v>
      </c>
      <c r="V163" s="28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</row>
    <row r="164" spans="1:65" ht="24.75" customHeight="1">
      <c r="A164" s="135" t="s">
        <v>115</v>
      </c>
      <c r="B164" s="206">
        <v>1726968</v>
      </c>
      <c r="C164" s="141">
        <v>2154048.2</v>
      </c>
      <c r="D164" s="134">
        <v>2523240</v>
      </c>
      <c r="E164" s="21">
        <v>8775</v>
      </c>
      <c r="F164" s="22">
        <v>540653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15">
        <f t="shared" si="27"/>
        <v>549428</v>
      </c>
      <c r="R164" s="171">
        <f t="shared" si="21"/>
        <v>21.774702366798245</v>
      </c>
      <c r="S164" s="24">
        <f t="shared" si="15"/>
        <v>210270</v>
      </c>
      <c r="T164" s="87">
        <f t="shared" si="26"/>
        <v>45785.666666666664</v>
      </c>
      <c r="U164" s="24">
        <f t="shared" si="16"/>
        <v>164484.33333333334</v>
      </c>
      <c r="V164" s="62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</row>
    <row r="165" spans="1:65" ht="24.75" customHeight="1">
      <c r="A165" s="135" t="s">
        <v>182</v>
      </c>
      <c r="B165" s="206">
        <v>1300866.9</v>
      </c>
      <c r="C165" s="141"/>
      <c r="D165" s="134">
        <f>167872.67+10050+35800</f>
        <v>213722.67</v>
      </c>
      <c r="E165" s="21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15">
        <f t="shared" si="27"/>
        <v>0</v>
      </c>
      <c r="R165" s="171">
        <f t="shared" si="21"/>
        <v>0</v>
      </c>
      <c r="S165" s="24">
        <f t="shared" si="15"/>
        <v>17810.2225</v>
      </c>
      <c r="T165" s="87">
        <f t="shared" si="26"/>
        <v>0</v>
      </c>
      <c r="U165" s="24">
        <f t="shared" si="16"/>
        <v>17810.2225</v>
      </c>
      <c r="V165" s="28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</row>
    <row r="166" spans="1:65" ht="24.75" customHeight="1">
      <c r="A166" s="122" t="s">
        <v>97</v>
      </c>
      <c r="B166" s="209">
        <f>SUM(B167:B170)</f>
        <v>151900.19</v>
      </c>
      <c r="C166" s="75">
        <f aca="true" t="shared" si="32" ref="C166:P166">SUM(C167:C170)</f>
        <v>167513.69</v>
      </c>
      <c r="D166" s="194">
        <f t="shared" si="32"/>
        <v>60231.61</v>
      </c>
      <c r="E166" s="85">
        <f t="shared" si="32"/>
        <v>0</v>
      </c>
      <c r="F166" s="85">
        <f t="shared" si="32"/>
        <v>0</v>
      </c>
      <c r="G166" s="85">
        <f t="shared" si="32"/>
        <v>0</v>
      </c>
      <c r="H166" s="85">
        <f t="shared" si="32"/>
        <v>0</v>
      </c>
      <c r="I166" s="85">
        <f t="shared" si="32"/>
        <v>0</v>
      </c>
      <c r="J166" s="85">
        <f t="shared" si="32"/>
        <v>0</v>
      </c>
      <c r="K166" s="85">
        <f t="shared" si="32"/>
        <v>0</v>
      </c>
      <c r="L166" s="85">
        <f t="shared" si="32"/>
        <v>0</v>
      </c>
      <c r="M166" s="85">
        <f t="shared" si="32"/>
        <v>0</v>
      </c>
      <c r="N166" s="85">
        <f t="shared" si="32"/>
        <v>0</v>
      </c>
      <c r="O166" s="85">
        <f t="shared" si="32"/>
        <v>0</v>
      </c>
      <c r="P166" s="85">
        <f t="shared" si="32"/>
        <v>0</v>
      </c>
      <c r="Q166" s="15">
        <f t="shared" si="27"/>
        <v>0</v>
      </c>
      <c r="R166" s="171">
        <f aca="true" t="shared" si="33" ref="R166:R172">Q166*100/D166</f>
        <v>0</v>
      </c>
      <c r="S166" s="64">
        <f>D166/12</f>
        <v>5019.300833333334</v>
      </c>
      <c r="T166" s="87">
        <f t="shared" si="26"/>
        <v>0</v>
      </c>
      <c r="U166" s="64">
        <f>S166-T166</f>
        <v>5019.300833333334</v>
      </c>
      <c r="V166" s="28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</row>
    <row r="167" spans="1:65" s="93" customFormat="1" ht="24.75" customHeight="1">
      <c r="A167" s="135" t="s">
        <v>98</v>
      </c>
      <c r="B167" s="206"/>
      <c r="C167" s="141"/>
      <c r="D167" s="134"/>
      <c r="E167" s="21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15">
        <f t="shared" si="27"/>
        <v>0</v>
      </c>
      <c r="R167" s="171" t="e">
        <f t="shared" si="33"/>
        <v>#DIV/0!</v>
      </c>
      <c r="S167" s="24">
        <f>D167/12</f>
        <v>0</v>
      </c>
      <c r="T167" s="87">
        <f t="shared" si="26"/>
        <v>0</v>
      </c>
      <c r="U167" s="24">
        <f>S167-T167</f>
        <v>0</v>
      </c>
      <c r="V167" s="28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</row>
    <row r="168" spans="1:65" ht="24.75" customHeight="1">
      <c r="A168" s="135" t="s">
        <v>99</v>
      </c>
      <c r="B168" s="206">
        <v>44227.83</v>
      </c>
      <c r="C168" s="141">
        <v>32231.61</v>
      </c>
      <c r="D168" s="134">
        <v>60231.61</v>
      </c>
      <c r="E168" s="21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15">
        <f t="shared" si="27"/>
        <v>0</v>
      </c>
      <c r="R168" s="171">
        <f t="shared" si="33"/>
        <v>0</v>
      </c>
      <c r="S168" s="24"/>
      <c r="T168" s="87">
        <f t="shared" si="26"/>
        <v>0</v>
      </c>
      <c r="U168" s="24"/>
      <c r="V168" s="28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</row>
    <row r="169" spans="1:65" ht="24.75" customHeight="1">
      <c r="A169" s="148" t="s">
        <v>100</v>
      </c>
      <c r="B169" s="206"/>
      <c r="C169" s="138">
        <v>126882.08</v>
      </c>
      <c r="D169" s="134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15">
        <f t="shared" si="27"/>
        <v>0</v>
      </c>
      <c r="R169" s="171" t="e">
        <f t="shared" si="33"/>
        <v>#DIV/0!</v>
      </c>
      <c r="S169" s="24">
        <f>D169/12</f>
        <v>0</v>
      </c>
      <c r="T169" s="87">
        <f t="shared" si="26"/>
        <v>0</v>
      </c>
      <c r="U169" s="24">
        <f>S169-T169</f>
        <v>0</v>
      </c>
      <c r="V169" s="65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</row>
    <row r="170" spans="1:65" s="95" customFormat="1" ht="24.75" customHeight="1">
      <c r="A170" s="135" t="s">
        <v>101</v>
      </c>
      <c r="B170" s="206">
        <v>107672.36</v>
      </c>
      <c r="C170" s="141">
        <v>8400</v>
      </c>
      <c r="D170" s="134"/>
      <c r="E170" s="21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15">
        <f t="shared" si="27"/>
        <v>0</v>
      </c>
      <c r="R170" s="171" t="e">
        <f t="shared" si="33"/>
        <v>#DIV/0!</v>
      </c>
      <c r="S170" s="24">
        <f>D170/12</f>
        <v>0</v>
      </c>
      <c r="T170" s="87">
        <f t="shared" si="26"/>
        <v>0</v>
      </c>
      <c r="U170" s="24">
        <f>S170-T170</f>
        <v>0</v>
      </c>
      <c r="V170" s="28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</row>
    <row r="171" spans="1:65" ht="24.75" customHeight="1">
      <c r="A171" s="154" t="s">
        <v>102</v>
      </c>
      <c r="B171" s="155">
        <f>B103+B124+B130+B150+B156+B160+B166</f>
        <v>48825250.911066666</v>
      </c>
      <c r="C171" s="155">
        <f>C103+C124+C130+C150+C156+C160+C166</f>
        <v>53280822.019999996</v>
      </c>
      <c r="D171" s="155">
        <f>D103+D124+D130+D150+D156+D160+D166</f>
        <v>41945400.22</v>
      </c>
      <c r="E171" s="108">
        <f aca="true" t="shared" si="34" ref="E171:S171">E104+E125+E150+E160+E166</f>
        <v>1318569.96</v>
      </c>
      <c r="F171" s="108">
        <f t="shared" si="34"/>
        <v>3379122.26</v>
      </c>
      <c r="G171" s="108">
        <f t="shared" si="34"/>
        <v>0</v>
      </c>
      <c r="H171" s="108">
        <f t="shared" si="34"/>
        <v>0</v>
      </c>
      <c r="I171" s="108">
        <f t="shared" si="34"/>
        <v>0</v>
      </c>
      <c r="J171" s="108">
        <f t="shared" si="34"/>
        <v>0</v>
      </c>
      <c r="K171" s="108">
        <f t="shared" si="34"/>
        <v>0</v>
      </c>
      <c r="L171" s="108">
        <f t="shared" si="34"/>
        <v>0</v>
      </c>
      <c r="M171" s="108">
        <f t="shared" si="34"/>
        <v>0</v>
      </c>
      <c r="N171" s="108">
        <f t="shared" si="34"/>
        <v>0</v>
      </c>
      <c r="O171" s="108">
        <f t="shared" si="34"/>
        <v>0</v>
      </c>
      <c r="P171" s="108">
        <f t="shared" si="34"/>
        <v>0</v>
      </c>
      <c r="Q171" s="15">
        <f t="shared" si="27"/>
        <v>4697692.22</v>
      </c>
      <c r="R171" s="171">
        <f t="shared" si="33"/>
        <v>11.199540820592986</v>
      </c>
      <c r="S171" s="108">
        <f t="shared" si="34"/>
        <v>982402.6875</v>
      </c>
      <c r="T171" s="87">
        <f t="shared" si="26"/>
        <v>391474.3516666666</v>
      </c>
      <c r="U171" s="108">
        <f>U104+U125+U150+U160+U166</f>
        <v>748578.5708333333</v>
      </c>
      <c r="V171" s="66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</row>
    <row r="172" spans="1:65" ht="24.75" customHeight="1">
      <c r="A172" s="156" t="s">
        <v>103</v>
      </c>
      <c r="B172" s="157">
        <f>B171+B102</f>
        <v>76144895.91106667</v>
      </c>
      <c r="C172" s="157">
        <f>C171+C102</f>
        <v>80475409.02</v>
      </c>
      <c r="D172" s="157">
        <f>D171+D102</f>
        <v>70452269.22</v>
      </c>
      <c r="E172" s="109">
        <f>E171+E103</f>
        <v>1669507.1400000001</v>
      </c>
      <c r="F172" s="109">
        <f>F171+F103</f>
        <v>3673395.86</v>
      </c>
      <c r="G172" s="109">
        <f aca="true" t="shared" si="35" ref="G172:S172">G171+G103</f>
        <v>0</v>
      </c>
      <c r="H172" s="109">
        <f t="shared" si="35"/>
        <v>0</v>
      </c>
      <c r="I172" s="109">
        <f t="shared" si="35"/>
        <v>0</v>
      </c>
      <c r="J172" s="109">
        <f t="shared" si="35"/>
        <v>0</v>
      </c>
      <c r="K172" s="109">
        <f t="shared" si="35"/>
        <v>0</v>
      </c>
      <c r="L172" s="109">
        <f t="shared" si="35"/>
        <v>0</v>
      </c>
      <c r="M172" s="109">
        <f t="shared" si="35"/>
        <v>0</v>
      </c>
      <c r="N172" s="109">
        <f t="shared" si="35"/>
        <v>0</v>
      </c>
      <c r="O172" s="109">
        <f t="shared" si="35"/>
        <v>0</v>
      </c>
      <c r="P172" s="109">
        <f t="shared" si="35"/>
        <v>0</v>
      </c>
      <c r="Q172" s="15">
        <f t="shared" si="27"/>
        <v>5342903</v>
      </c>
      <c r="R172" s="171">
        <f t="shared" si="33"/>
        <v>7.583720239465695</v>
      </c>
      <c r="S172" s="109">
        <f t="shared" si="35"/>
        <v>1408928.4375</v>
      </c>
      <c r="T172" s="87">
        <f t="shared" si="26"/>
        <v>445241.9166666667</v>
      </c>
      <c r="U172" s="109">
        <f>U171+U103</f>
        <v>1121336.7558333334</v>
      </c>
      <c r="V172" s="67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</row>
    <row r="173" spans="1:65" s="105" customFormat="1" ht="24.75" customHeight="1">
      <c r="A173" s="158" t="s">
        <v>104</v>
      </c>
      <c r="B173" s="159">
        <f>B74-B172</f>
        <v>-8579341.321066678</v>
      </c>
      <c r="C173" s="159">
        <f>C74-C172</f>
        <v>-14650759.029999994</v>
      </c>
      <c r="D173" s="159">
        <f>D74-D172</f>
        <v>-3553856.8500000015</v>
      </c>
      <c r="E173" s="107">
        <f>E74-E172</f>
        <v>18875532.019999996</v>
      </c>
      <c r="F173" s="107">
        <f aca="true" t="shared" si="36" ref="F173:S173">F74-F172</f>
        <v>-2040264.3599999999</v>
      </c>
      <c r="G173" s="107">
        <f t="shared" si="36"/>
        <v>0</v>
      </c>
      <c r="H173" s="107">
        <f t="shared" si="36"/>
        <v>0</v>
      </c>
      <c r="I173" s="107">
        <f t="shared" si="36"/>
        <v>0</v>
      </c>
      <c r="J173" s="107">
        <f t="shared" si="36"/>
        <v>0</v>
      </c>
      <c r="K173" s="107">
        <f t="shared" si="36"/>
        <v>0</v>
      </c>
      <c r="L173" s="107">
        <f t="shared" si="36"/>
        <v>0</v>
      </c>
      <c r="M173" s="107">
        <f t="shared" si="36"/>
        <v>0</v>
      </c>
      <c r="N173" s="107">
        <f t="shared" si="36"/>
        <v>0</v>
      </c>
      <c r="O173" s="107">
        <f t="shared" si="36"/>
        <v>0</v>
      </c>
      <c r="P173" s="107">
        <f t="shared" si="36"/>
        <v>0</v>
      </c>
      <c r="Q173" s="15">
        <f t="shared" si="27"/>
        <v>16835267.659999996</v>
      </c>
      <c r="R173" s="171"/>
      <c r="S173" s="107">
        <f t="shared" si="36"/>
        <v>4165939.26</v>
      </c>
      <c r="T173" s="87">
        <f t="shared" si="26"/>
        <v>1402938.9716666664</v>
      </c>
      <c r="U173" s="107">
        <f>U74-U172</f>
        <v>2617310.2649999997</v>
      </c>
      <c r="V173" s="11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</row>
    <row r="174" spans="1:65" ht="24.75" customHeight="1">
      <c r="A174" s="160"/>
      <c r="B174" s="160"/>
      <c r="C174" s="138"/>
      <c r="D174" s="138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74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</row>
    <row r="175" spans="1:141" ht="23.25">
      <c r="A175" s="161" t="s">
        <v>155</v>
      </c>
      <c r="B175" s="161"/>
      <c r="C175" s="72" t="s">
        <v>211</v>
      </c>
      <c r="D175" s="71" t="s">
        <v>151</v>
      </c>
      <c r="E175" s="377" t="s">
        <v>152</v>
      </c>
      <c r="F175" s="71" t="s">
        <v>370</v>
      </c>
      <c r="G175" s="72" t="s">
        <v>153</v>
      </c>
      <c r="H175" s="72" t="s">
        <v>154</v>
      </c>
      <c r="I175" s="72" t="s">
        <v>156</v>
      </c>
      <c r="J175" s="72" t="s">
        <v>157</v>
      </c>
      <c r="K175" s="72" t="s">
        <v>158</v>
      </c>
      <c r="L175" s="72" t="s">
        <v>159</v>
      </c>
      <c r="M175" s="72" t="s">
        <v>160</v>
      </c>
      <c r="N175" s="72" t="s">
        <v>161</v>
      </c>
      <c r="O175" s="72" t="s">
        <v>162</v>
      </c>
      <c r="P175" s="72" t="s">
        <v>163</v>
      </c>
      <c r="Q175" s="73"/>
      <c r="R175" s="16" t="e">
        <f aca="true" t="shared" si="37" ref="R175:R182">Q175*100/D175</f>
        <v>#VALUE!</v>
      </c>
      <c r="S175" s="17" t="e">
        <f aca="true" t="shared" si="38" ref="S175:S182">D175/12</f>
        <v>#VALUE!</v>
      </c>
      <c r="T175" s="12"/>
      <c r="U175" s="12"/>
      <c r="V175" s="46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</row>
    <row r="176" spans="1:141" ht="23.25">
      <c r="A176" s="162" t="s">
        <v>105</v>
      </c>
      <c r="B176" s="162"/>
      <c r="C176" s="69">
        <v>9682954.48</v>
      </c>
      <c r="D176" s="68"/>
      <c r="E176" s="17">
        <v>26351987.81</v>
      </c>
      <c r="F176" s="378">
        <v>21156755.06</v>
      </c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70"/>
      <c r="R176" s="16" t="e">
        <f t="shared" si="37"/>
        <v>#DIV/0!</v>
      </c>
      <c r="S176" s="17">
        <f t="shared" si="38"/>
        <v>0</v>
      </c>
      <c r="T176" s="69"/>
      <c r="U176" s="69"/>
      <c r="V176" s="46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</row>
    <row r="177" spans="1:141" ht="23.25">
      <c r="A177" s="162" t="s">
        <v>106</v>
      </c>
      <c r="B177" s="162"/>
      <c r="C177" s="69">
        <v>2262043.23</v>
      </c>
      <c r="D177" s="68"/>
      <c r="E177" s="17">
        <v>8532762.96</v>
      </c>
      <c r="F177" s="17">
        <v>10054117.38</v>
      </c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70"/>
      <c r="R177" s="16" t="e">
        <f t="shared" si="37"/>
        <v>#DIV/0!</v>
      </c>
      <c r="S177" s="17">
        <f t="shared" si="38"/>
        <v>0</v>
      </c>
      <c r="T177" s="69"/>
      <c r="U177" s="69"/>
      <c r="V177" s="46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</row>
    <row r="178" spans="1:141" ht="23.25">
      <c r="A178" s="162" t="s">
        <v>107</v>
      </c>
      <c r="B178" s="162"/>
      <c r="C178" s="69">
        <v>2294092.78</v>
      </c>
      <c r="D178" s="68"/>
      <c r="E178" s="17">
        <v>1765260.78</v>
      </c>
      <c r="F178" s="17">
        <v>1880655.31</v>
      </c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70"/>
      <c r="R178" s="16" t="e">
        <f t="shared" si="37"/>
        <v>#DIV/0!</v>
      </c>
      <c r="S178" s="17">
        <f t="shared" si="38"/>
        <v>0</v>
      </c>
      <c r="T178" s="69"/>
      <c r="U178" s="69"/>
      <c r="V178" s="46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</row>
    <row r="179" spans="1:141" ht="23.25">
      <c r="A179" s="162" t="s">
        <v>287</v>
      </c>
      <c r="B179" s="162"/>
      <c r="C179" s="69"/>
      <c r="D179" s="68"/>
      <c r="E179" s="17"/>
      <c r="F179" s="17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70"/>
      <c r="R179" s="16"/>
      <c r="S179" s="17"/>
      <c r="T179" s="69"/>
      <c r="U179" s="69"/>
      <c r="V179" s="46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</row>
    <row r="180" spans="1:141" ht="23.25">
      <c r="A180" s="162" t="s">
        <v>108</v>
      </c>
      <c r="B180" s="162"/>
      <c r="C180" s="69">
        <v>3520013.67</v>
      </c>
      <c r="D180" s="68"/>
      <c r="E180" s="17">
        <v>3520013.67</v>
      </c>
      <c r="F180" s="17">
        <v>2910878</v>
      </c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70"/>
      <c r="R180" s="16" t="e">
        <f t="shared" si="37"/>
        <v>#DIV/0!</v>
      </c>
      <c r="S180" s="17">
        <f t="shared" si="38"/>
        <v>0</v>
      </c>
      <c r="T180" s="69"/>
      <c r="U180" s="69"/>
      <c r="V180" s="46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</row>
    <row r="181" spans="1:141" ht="23.25">
      <c r="A181" s="162" t="s">
        <v>109</v>
      </c>
      <c r="B181" s="162"/>
      <c r="C181" s="75">
        <f aca="true" t="shared" si="39" ref="C181:K181">C177+C178+C180</f>
        <v>8076149.68</v>
      </c>
      <c r="D181" s="68">
        <f t="shared" si="39"/>
        <v>0</v>
      </c>
      <c r="E181" s="75">
        <f>E177+E178+E180</f>
        <v>13818037.41</v>
      </c>
      <c r="F181" s="75">
        <f t="shared" si="39"/>
        <v>14845650.690000001</v>
      </c>
      <c r="G181" s="75">
        <f t="shared" si="39"/>
        <v>0</v>
      </c>
      <c r="H181" s="75">
        <f t="shared" si="39"/>
        <v>0</v>
      </c>
      <c r="I181" s="75">
        <f t="shared" si="39"/>
        <v>0</v>
      </c>
      <c r="J181" s="75">
        <f t="shared" si="39"/>
        <v>0</v>
      </c>
      <c r="K181" s="75">
        <f t="shared" si="39"/>
        <v>0</v>
      </c>
      <c r="L181" s="75">
        <f>L177+L178+L180</f>
        <v>0</v>
      </c>
      <c r="M181" s="75">
        <f>M177+M178+M180</f>
        <v>0</v>
      </c>
      <c r="N181" s="75">
        <f>N177+N178+N180</f>
        <v>0</v>
      </c>
      <c r="O181" s="75">
        <f>O177+O178+O180</f>
        <v>0</v>
      </c>
      <c r="P181" s="75"/>
      <c r="Q181" s="70"/>
      <c r="R181" s="16" t="e">
        <f t="shared" si="37"/>
        <v>#DIV/0!</v>
      </c>
      <c r="S181" s="17">
        <f t="shared" si="38"/>
        <v>0</v>
      </c>
      <c r="T181" s="69"/>
      <c r="U181" s="69"/>
      <c r="V181" s="46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</row>
    <row r="182" spans="1:141" ht="23.25">
      <c r="A182" s="163" t="s">
        <v>110</v>
      </c>
      <c r="B182" s="163"/>
      <c r="C182" s="76">
        <f>C176-C181</f>
        <v>1606804.8000000007</v>
      </c>
      <c r="D182" s="68">
        <f aca="true" t="shared" si="40" ref="D182:K182">D176-D181</f>
        <v>0</v>
      </c>
      <c r="E182" s="76">
        <f>E176-E181</f>
        <v>12533950.399999999</v>
      </c>
      <c r="F182" s="76">
        <f t="shared" si="40"/>
        <v>6311104.369999997</v>
      </c>
      <c r="G182" s="76">
        <f t="shared" si="40"/>
        <v>0</v>
      </c>
      <c r="H182" s="76">
        <f t="shared" si="40"/>
        <v>0</v>
      </c>
      <c r="I182" s="76">
        <f t="shared" si="40"/>
        <v>0</v>
      </c>
      <c r="J182" s="76">
        <f t="shared" si="40"/>
        <v>0</v>
      </c>
      <c r="K182" s="76">
        <f t="shared" si="40"/>
        <v>0</v>
      </c>
      <c r="L182" s="76">
        <f>L176-L181</f>
        <v>0</v>
      </c>
      <c r="M182" s="76">
        <f>M176-M181</f>
        <v>0</v>
      </c>
      <c r="N182" s="76">
        <f>N176-N181</f>
        <v>0</v>
      </c>
      <c r="O182" s="76">
        <f>O176-O181</f>
        <v>0</v>
      </c>
      <c r="P182" s="76"/>
      <c r="Q182" s="70"/>
      <c r="R182" s="16" t="e">
        <f t="shared" si="37"/>
        <v>#DIV/0!</v>
      </c>
      <c r="S182" s="17">
        <f t="shared" si="38"/>
        <v>0</v>
      </c>
      <c r="T182" s="69"/>
      <c r="U182" s="69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</row>
    <row r="183" spans="1:2" ht="24.75" customHeight="1">
      <c r="A183" s="332" t="s">
        <v>284</v>
      </c>
      <c r="B183" s="333">
        <f>B182+B168</f>
        <v>44227.83</v>
      </c>
    </row>
    <row r="184" spans="1:4" ht="24.75" customHeight="1">
      <c r="A184" s="332" t="s">
        <v>285</v>
      </c>
      <c r="B184" s="333">
        <f>B182+B170</f>
        <v>107672.36</v>
      </c>
      <c r="D184" s="119"/>
    </row>
    <row r="185" spans="1:2" ht="24.75" customHeight="1">
      <c r="A185" s="334" t="s">
        <v>5</v>
      </c>
      <c r="B185" s="284"/>
    </row>
    <row r="186" spans="1:2" ht="24.75" customHeight="1">
      <c r="A186" s="334" t="s">
        <v>286</v>
      </c>
      <c r="B186" s="333">
        <v>49530560.92999999</v>
      </c>
    </row>
    <row r="187" spans="1:22" s="341" customFormat="1" ht="21.75">
      <c r="A187" s="335" t="s">
        <v>362</v>
      </c>
      <c r="B187" s="336"/>
      <c r="C187" s="336" t="s">
        <v>347</v>
      </c>
      <c r="D187" s="336" t="s">
        <v>348</v>
      </c>
      <c r="E187" s="7" t="s">
        <v>114</v>
      </c>
      <c r="F187" s="9" t="s">
        <v>164</v>
      </c>
      <c r="G187" s="9" t="s">
        <v>165</v>
      </c>
      <c r="H187" s="9" t="s">
        <v>166</v>
      </c>
      <c r="I187" s="9" t="s">
        <v>167</v>
      </c>
      <c r="J187" s="9" t="s">
        <v>168</v>
      </c>
      <c r="K187" s="9" t="s">
        <v>169</v>
      </c>
      <c r="L187" s="9" t="s">
        <v>170</v>
      </c>
      <c r="M187" s="9" t="s">
        <v>171</v>
      </c>
      <c r="N187" s="9" t="s">
        <v>172</v>
      </c>
      <c r="O187" s="9" t="s">
        <v>173</v>
      </c>
      <c r="P187" s="9" t="s">
        <v>174</v>
      </c>
      <c r="Q187" s="337" t="s">
        <v>1</v>
      </c>
      <c r="R187" s="338" t="s">
        <v>2</v>
      </c>
      <c r="S187" s="339" t="s">
        <v>288</v>
      </c>
      <c r="T187" s="339" t="s">
        <v>3</v>
      </c>
      <c r="U187" s="339" t="s">
        <v>4</v>
      </c>
      <c r="V187" s="340" t="s">
        <v>5</v>
      </c>
    </row>
    <row r="188" spans="1:22" s="350" customFormat="1" ht="21.75">
      <c r="A188" s="342" t="s">
        <v>289</v>
      </c>
      <c r="B188" s="343"/>
      <c r="C188" s="343"/>
      <c r="D188" s="343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5"/>
      <c r="P188" s="345"/>
      <c r="Q188" s="346"/>
      <c r="R188" s="347"/>
      <c r="S188" s="348"/>
      <c r="T188" s="348"/>
      <c r="U188" s="348"/>
      <c r="V188" s="349"/>
    </row>
    <row r="189" spans="1:22" s="350" customFormat="1" ht="21.75">
      <c r="A189" s="351" t="s">
        <v>290</v>
      </c>
      <c r="B189" s="345"/>
      <c r="C189" s="345"/>
      <c r="D189" s="345"/>
      <c r="E189" s="344">
        <v>2393436.1</v>
      </c>
      <c r="F189" s="344">
        <v>2904939.68</v>
      </c>
      <c r="G189" s="344"/>
      <c r="H189" s="344"/>
      <c r="I189" s="344"/>
      <c r="J189" s="344"/>
      <c r="K189" s="344"/>
      <c r="L189" s="344"/>
      <c r="M189" s="344"/>
      <c r="N189" s="344"/>
      <c r="O189" s="345"/>
      <c r="P189" s="345"/>
      <c r="Q189" s="346"/>
      <c r="R189" s="347"/>
      <c r="S189" s="348"/>
      <c r="T189" s="348"/>
      <c r="U189" s="348"/>
      <c r="V189" s="349"/>
    </row>
    <row r="190" spans="1:22" s="350" customFormat="1" ht="21.75">
      <c r="A190" s="351" t="s">
        <v>349</v>
      </c>
      <c r="B190" s="345"/>
      <c r="C190" s="345"/>
      <c r="D190" s="345"/>
      <c r="E190" s="344">
        <v>42695.3</v>
      </c>
      <c r="F190" s="344">
        <v>65196.75</v>
      </c>
      <c r="G190" s="344"/>
      <c r="H190" s="344"/>
      <c r="I190" s="344"/>
      <c r="J190" s="344"/>
      <c r="K190" s="344"/>
      <c r="L190" s="344"/>
      <c r="M190" s="344"/>
      <c r="N190" s="344"/>
      <c r="O190" s="345"/>
      <c r="P190" s="345"/>
      <c r="Q190" s="346"/>
      <c r="R190" s="347"/>
      <c r="S190" s="348"/>
      <c r="T190" s="348"/>
      <c r="U190" s="348"/>
      <c r="V190" s="349"/>
    </row>
    <row r="191" spans="1:22" s="350" customFormat="1" ht="21.75">
      <c r="A191" s="351" t="s">
        <v>291</v>
      </c>
      <c r="B191" s="345"/>
      <c r="C191" s="345"/>
      <c r="D191" s="345"/>
      <c r="E191" s="344">
        <v>263507.94</v>
      </c>
      <c r="F191" s="344">
        <v>378842.8</v>
      </c>
      <c r="G191" s="344"/>
      <c r="H191" s="344"/>
      <c r="I191" s="344"/>
      <c r="J191" s="344"/>
      <c r="K191" s="344"/>
      <c r="L191" s="344"/>
      <c r="M191" s="344"/>
      <c r="N191" s="344"/>
      <c r="O191" s="345"/>
      <c r="P191" s="345"/>
      <c r="Q191" s="346"/>
      <c r="R191" s="347"/>
      <c r="S191" s="348"/>
      <c r="T191" s="348"/>
      <c r="U191" s="348"/>
      <c r="V191" s="349"/>
    </row>
    <row r="192" spans="1:22" s="350" customFormat="1" ht="21.75">
      <c r="A192" s="351" t="s">
        <v>292</v>
      </c>
      <c r="B192" s="345"/>
      <c r="C192" s="345"/>
      <c r="D192" s="345"/>
      <c r="E192" s="344">
        <v>96520</v>
      </c>
      <c r="F192" s="344">
        <v>158730</v>
      </c>
      <c r="G192" s="344"/>
      <c r="H192" s="344"/>
      <c r="I192" s="344"/>
      <c r="J192" s="344"/>
      <c r="K192" s="344"/>
      <c r="L192" s="344"/>
      <c r="M192" s="344"/>
      <c r="N192" s="344"/>
      <c r="O192" s="345"/>
      <c r="P192" s="345"/>
      <c r="Q192" s="346"/>
      <c r="R192" s="347"/>
      <c r="S192" s="348"/>
      <c r="T192" s="348"/>
      <c r="U192" s="348"/>
      <c r="V192" s="349"/>
    </row>
    <row r="193" spans="1:22" s="350" customFormat="1" ht="21.75">
      <c r="A193" s="351" t="s">
        <v>363</v>
      </c>
      <c r="B193" s="345"/>
      <c r="C193" s="345"/>
      <c r="D193" s="345"/>
      <c r="E193" s="344">
        <v>69050</v>
      </c>
      <c r="F193" s="344">
        <v>38600</v>
      </c>
      <c r="G193" s="344"/>
      <c r="H193" s="344"/>
      <c r="I193" s="344"/>
      <c r="J193" s="344"/>
      <c r="K193" s="344"/>
      <c r="L193" s="344"/>
      <c r="M193" s="344"/>
      <c r="N193" s="344"/>
      <c r="O193" s="345"/>
      <c r="P193" s="345"/>
      <c r="Q193" s="346"/>
      <c r="R193" s="347"/>
      <c r="S193" s="348"/>
      <c r="T193" s="348"/>
      <c r="U193" s="348"/>
      <c r="V193" s="349"/>
    </row>
    <row r="194" spans="1:22" s="350" customFormat="1" ht="21.75">
      <c r="A194" s="351" t="s">
        <v>300</v>
      </c>
      <c r="B194" s="345"/>
      <c r="C194" s="345"/>
      <c r="D194" s="345"/>
      <c r="E194" s="344">
        <v>143265.35</v>
      </c>
      <c r="F194" s="344">
        <v>145436.9</v>
      </c>
      <c r="G194" s="344"/>
      <c r="H194" s="344"/>
      <c r="I194" s="344"/>
      <c r="J194" s="344"/>
      <c r="K194" s="344"/>
      <c r="L194" s="344"/>
      <c r="M194" s="344"/>
      <c r="N194" s="344"/>
      <c r="O194" s="345"/>
      <c r="P194" s="345"/>
      <c r="Q194" s="346"/>
      <c r="R194" s="347"/>
      <c r="S194" s="348"/>
      <c r="T194" s="348"/>
      <c r="U194" s="348"/>
      <c r="V194" s="349"/>
    </row>
    <row r="195" spans="1:22" s="350" customFormat="1" ht="21.75">
      <c r="A195" s="351" t="s">
        <v>293</v>
      </c>
      <c r="B195" s="345"/>
      <c r="C195" s="345"/>
      <c r="D195" s="345"/>
      <c r="E195" s="344">
        <v>80118.33</v>
      </c>
      <c r="F195" s="344">
        <v>111012.12</v>
      </c>
      <c r="G195" s="344"/>
      <c r="H195" s="344"/>
      <c r="I195" s="344"/>
      <c r="J195" s="344"/>
      <c r="K195" s="344"/>
      <c r="L195" s="344"/>
      <c r="M195" s="344"/>
      <c r="N195" s="344"/>
      <c r="O195" s="345"/>
      <c r="P195" s="345"/>
      <c r="Q195" s="346"/>
      <c r="R195" s="347"/>
      <c r="S195" s="348"/>
      <c r="T195" s="348"/>
      <c r="U195" s="348"/>
      <c r="V195" s="349"/>
    </row>
    <row r="196" spans="1:22" s="350" customFormat="1" ht="21.75">
      <c r="A196" s="351" t="s">
        <v>294</v>
      </c>
      <c r="B196" s="345"/>
      <c r="C196" s="345"/>
      <c r="D196" s="345"/>
      <c r="E196" s="344"/>
      <c r="F196" s="344"/>
      <c r="G196" s="344"/>
      <c r="H196" s="344"/>
      <c r="I196" s="344"/>
      <c r="J196" s="344"/>
      <c r="K196" s="344"/>
      <c r="L196" s="344"/>
      <c r="M196" s="344"/>
      <c r="N196" s="344"/>
      <c r="O196" s="345"/>
      <c r="P196" s="345"/>
      <c r="Q196" s="346"/>
      <c r="R196" s="347"/>
      <c r="S196" s="348"/>
      <c r="T196" s="348"/>
      <c r="U196" s="348"/>
      <c r="V196" s="349"/>
    </row>
    <row r="197" spans="1:22" s="350" customFormat="1" ht="21.75">
      <c r="A197" s="351" t="s">
        <v>295</v>
      </c>
      <c r="B197" s="345"/>
      <c r="C197" s="345"/>
      <c r="D197" s="345"/>
      <c r="E197" s="344">
        <v>3720</v>
      </c>
      <c r="F197" s="344"/>
      <c r="G197" s="344"/>
      <c r="H197" s="344"/>
      <c r="I197" s="344"/>
      <c r="J197" s="344"/>
      <c r="K197" s="344"/>
      <c r="L197" s="344"/>
      <c r="M197" s="344"/>
      <c r="N197" s="344"/>
      <c r="O197" s="345"/>
      <c r="P197" s="345"/>
      <c r="Q197" s="346"/>
      <c r="R197" s="347"/>
      <c r="S197" s="348"/>
      <c r="T197" s="348"/>
      <c r="U197" s="348"/>
      <c r="V197" s="349"/>
    </row>
    <row r="198" spans="1:22" s="350" customFormat="1" ht="21.75">
      <c r="A198" s="351" t="s">
        <v>296</v>
      </c>
      <c r="B198" s="345"/>
      <c r="C198" s="345"/>
      <c r="D198" s="345"/>
      <c r="E198" s="344">
        <v>121123.33</v>
      </c>
      <c r="F198" s="344">
        <v>179156.73</v>
      </c>
      <c r="G198" s="344"/>
      <c r="H198" s="344"/>
      <c r="I198" s="344"/>
      <c r="J198" s="344"/>
      <c r="K198" s="344"/>
      <c r="L198" s="344"/>
      <c r="M198" s="344"/>
      <c r="N198" s="344"/>
      <c r="O198" s="345"/>
      <c r="P198" s="345"/>
      <c r="Q198" s="346"/>
      <c r="R198" s="347"/>
      <c r="S198" s="348"/>
      <c r="T198" s="348"/>
      <c r="U198" s="348"/>
      <c r="V198" s="349"/>
    </row>
    <row r="199" spans="1:22" s="350" customFormat="1" ht="21.75">
      <c r="A199" s="351" t="s">
        <v>297</v>
      </c>
      <c r="B199" s="345"/>
      <c r="C199" s="345"/>
      <c r="D199" s="345"/>
      <c r="E199" s="344">
        <v>1020</v>
      </c>
      <c r="F199" s="344"/>
      <c r="G199" s="344"/>
      <c r="H199" s="344"/>
      <c r="I199" s="344"/>
      <c r="J199" s="344"/>
      <c r="K199" s="344"/>
      <c r="L199" s="344"/>
      <c r="M199" s="344"/>
      <c r="N199" s="344"/>
      <c r="O199" s="345"/>
      <c r="P199" s="345"/>
      <c r="Q199" s="346"/>
      <c r="R199" s="347"/>
      <c r="S199" s="348"/>
      <c r="T199" s="348"/>
      <c r="U199" s="348"/>
      <c r="V199" s="349"/>
    </row>
    <row r="200" spans="1:22" s="350" customFormat="1" ht="21.75">
      <c r="A200" s="351" t="s">
        <v>298</v>
      </c>
      <c r="B200" s="345"/>
      <c r="C200" s="345"/>
      <c r="D200" s="345"/>
      <c r="E200" s="344"/>
      <c r="F200" s="344"/>
      <c r="G200" s="344"/>
      <c r="H200" s="344"/>
      <c r="I200" s="344"/>
      <c r="J200" s="344"/>
      <c r="K200" s="344"/>
      <c r="L200" s="344"/>
      <c r="M200" s="344"/>
      <c r="N200" s="344"/>
      <c r="O200" s="345"/>
      <c r="P200" s="345"/>
      <c r="Q200" s="346"/>
      <c r="R200" s="347"/>
      <c r="S200" s="348"/>
      <c r="T200" s="348"/>
      <c r="U200" s="348"/>
      <c r="V200" s="349"/>
    </row>
    <row r="201" spans="1:22" s="350" customFormat="1" ht="21.75">
      <c r="A201" s="351" t="s">
        <v>299</v>
      </c>
      <c r="B201" s="345"/>
      <c r="C201" s="345"/>
      <c r="D201" s="345"/>
      <c r="E201" s="344">
        <v>3006.7</v>
      </c>
      <c r="F201" s="344">
        <v>9630</v>
      </c>
      <c r="G201" s="344"/>
      <c r="H201" s="344"/>
      <c r="I201" s="344"/>
      <c r="J201" s="344"/>
      <c r="K201" s="344"/>
      <c r="L201" s="344"/>
      <c r="M201" s="344"/>
      <c r="N201" s="344"/>
      <c r="O201" s="345"/>
      <c r="P201" s="345"/>
      <c r="Q201" s="346"/>
      <c r="R201" s="347"/>
      <c r="S201" s="348"/>
      <c r="T201" s="348"/>
      <c r="U201" s="348"/>
      <c r="V201" s="349"/>
    </row>
    <row r="202" spans="1:22" s="350" customFormat="1" ht="21.75">
      <c r="A202" s="352" t="s">
        <v>301</v>
      </c>
      <c r="B202" s="353"/>
      <c r="C202" s="353">
        <f aca="true" t="shared" si="41" ref="C202:Q202">SUM(C188:C201)</f>
        <v>0</v>
      </c>
      <c r="D202" s="353">
        <f t="shared" si="41"/>
        <v>0</v>
      </c>
      <c r="E202" s="354">
        <f t="shared" si="41"/>
        <v>3217463.0500000003</v>
      </c>
      <c r="F202" s="354">
        <f>SUM(F188:F201)</f>
        <v>3991544.98</v>
      </c>
      <c r="G202" s="354">
        <f>SUM(G188:G201)</f>
        <v>0</v>
      </c>
      <c r="H202" s="354">
        <f>SUM(H188:H201)</f>
        <v>0</v>
      </c>
      <c r="I202" s="354">
        <f t="shared" si="41"/>
        <v>0</v>
      </c>
      <c r="J202" s="354">
        <f t="shared" si="41"/>
        <v>0</v>
      </c>
      <c r="K202" s="354">
        <f t="shared" si="41"/>
        <v>0</v>
      </c>
      <c r="L202" s="354">
        <f t="shared" si="41"/>
        <v>0</v>
      </c>
      <c r="M202" s="354">
        <f t="shared" si="41"/>
        <v>0</v>
      </c>
      <c r="N202" s="354">
        <f t="shared" si="41"/>
        <v>0</v>
      </c>
      <c r="O202" s="353">
        <f t="shared" si="41"/>
        <v>0</v>
      </c>
      <c r="P202" s="353">
        <f t="shared" si="41"/>
        <v>0</v>
      </c>
      <c r="Q202" s="355">
        <f t="shared" si="41"/>
        <v>0</v>
      </c>
      <c r="R202" s="347"/>
      <c r="S202" s="348"/>
      <c r="T202" s="348"/>
      <c r="U202" s="348"/>
      <c r="V202" s="349"/>
    </row>
    <row r="203" spans="1:22" s="341" customFormat="1" ht="21.75">
      <c r="A203" s="335" t="s">
        <v>361</v>
      </c>
      <c r="B203" s="336"/>
      <c r="C203" s="336" t="s">
        <v>347</v>
      </c>
      <c r="D203" s="336" t="s">
        <v>348</v>
      </c>
      <c r="E203" s="7" t="s">
        <v>114</v>
      </c>
      <c r="F203" s="9" t="s">
        <v>164</v>
      </c>
      <c r="G203" s="9" t="s">
        <v>165</v>
      </c>
      <c r="H203" s="9" t="s">
        <v>166</v>
      </c>
      <c r="I203" s="9" t="s">
        <v>167</v>
      </c>
      <c r="J203" s="9" t="s">
        <v>168</v>
      </c>
      <c r="K203" s="9" t="s">
        <v>169</v>
      </c>
      <c r="L203" s="9" t="s">
        <v>170</v>
      </c>
      <c r="M203" s="9" t="s">
        <v>171</v>
      </c>
      <c r="N203" s="9" t="s">
        <v>172</v>
      </c>
      <c r="O203" s="9" t="s">
        <v>173</v>
      </c>
      <c r="P203" s="9" t="s">
        <v>174</v>
      </c>
      <c r="Q203" s="337" t="s">
        <v>1</v>
      </c>
      <c r="R203" s="338" t="s">
        <v>2</v>
      </c>
      <c r="S203" s="339" t="s">
        <v>288</v>
      </c>
      <c r="T203" s="339" t="s">
        <v>3</v>
      </c>
      <c r="U203" s="339" t="s">
        <v>4</v>
      </c>
      <c r="V203" s="340" t="s">
        <v>5</v>
      </c>
    </row>
    <row r="204" spans="1:22" s="350" customFormat="1" ht="21.75">
      <c r="A204" s="351" t="s">
        <v>290</v>
      </c>
      <c r="B204" s="345"/>
      <c r="C204" s="345"/>
      <c r="D204" s="345"/>
      <c r="E204" s="344">
        <v>2244473.52</v>
      </c>
      <c r="F204" s="344">
        <v>3723485.77</v>
      </c>
      <c r="G204" s="344"/>
      <c r="H204" s="344"/>
      <c r="I204" s="344"/>
      <c r="J204" s="344"/>
      <c r="K204" s="344"/>
      <c r="L204" s="344"/>
      <c r="M204" s="344"/>
      <c r="N204" s="344"/>
      <c r="O204" s="345"/>
      <c r="P204" s="345"/>
      <c r="Q204" s="346"/>
      <c r="R204" s="347"/>
      <c r="S204" s="348"/>
      <c r="T204" s="348"/>
      <c r="U204" s="348"/>
      <c r="V204" s="349"/>
    </row>
    <row r="205" spans="1:22" s="350" customFormat="1" ht="21.75">
      <c r="A205" s="351" t="s">
        <v>349</v>
      </c>
      <c r="B205" s="345"/>
      <c r="C205" s="345"/>
      <c r="D205" s="345"/>
      <c r="E205" s="344"/>
      <c r="F205" s="344"/>
      <c r="G205" s="344"/>
      <c r="H205" s="344"/>
      <c r="I205" s="344"/>
      <c r="J205" s="344"/>
      <c r="K205" s="344"/>
      <c r="L205" s="344"/>
      <c r="M205" s="344"/>
      <c r="N205" s="344"/>
      <c r="O205" s="345"/>
      <c r="P205" s="345"/>
      <c r="Q205" s="346"/>
      <c r="R205" s="347"/>
      <c r="S205" s="348"/>
      <c r="T205" s="348"/>
      <c r="U205" s="348"/>
      <c r="V205" s="349"/>
    </row>
    <row r="206" spans="1:22" s="350" customFormat="1" ht="21.75">
      <c r="A206" s="351" t="s">
        <v>291</v>
      </c>
      <c r="B206" s="345"/>
      <c r="C206" s="345"/>
      <c r="D206" s="345"/>
      <c r="E206" s="344">
        <v>310222.31</v>
      </c>
      <c r="F206" s="344">
        <v>588615.48</v>
      </c>
      <c r="G206" s="344"/>
      <c r="H206" s="344"/>
      <c r="I206" s="344"/>
      <c r="J206" s="344"/>
      <c r="K206" s="344"/>
      <c r="L206" s="344"/>
      <c r="M206" s="344"/>
      <c r="N206" s="344"/>
      <c r="O206" s="345"/>
      <c r="P206" s="345"/>
      <c r="Q206" s="346"/>
      <c r="R206" s="347"/>
      <c r="S206" s="348"/>
      <c r="T206" s="348"/>
      <c r="U206" s="348"/>
      <c r="V206" s="349"/>
    </row>
    <row r="207" spans="1:22" s="350" customFormat="1" ht="21.75">
      <c r="A207" s="351" t="s">
        <v>292</v>
      </c>
      <c r="B207" s="345"/>
      <c r="C207" s="345"/>
      <c r="D207" s="345"/>
      <c r="E207" s="344">
        <v>265495</v>
      </c>
      <c r="F207" s="344">
        <v>606568</v>
      </c>
      <c r="G207" s="344"/>
      <c r="H207" s="344"/>
      <c r="I207" s="344"/>
      <c r="J207" s="344"/>
      <c r="K207" s="344"/>
      <c r="L207" s="344"/>
      <c r="M207" s="344"/>
      <c r="N207" s="344"/>
      <c r="O207" s="345"/>
      <c r="P207" s="345"/>
      <c r="Q207" s="346"/>
      <c r="R207" s="347"/>
      <c r="S207" s="348"/>
      <c r="T207" s="348"/>
      <c r="U207" s="348"/>
      <c r="V207" s="349"/>
    </row>
    <row r="208" spans="1:22" s="350" customFormat="1" ht="21.75">
      <c r="A208" s="351" t="s">
        <v>295</v>
      </c>
      <c r="B208" s="345"/>
      <c r="C208" s="345"/>
      <c r="D208" s="345"/>
      <c r="E208" s="344">
        <v>5520</v>
      </c>
      <c r="F208" s="344">
        <v>2975</v>
      </c>
      <c r="G208" s="344"/>
      <c r="H208" s="344"/>
      <c r="I208" s="344"/>
      <c r="J208" s="344"/>
      <c r="K208" s="344"/>
      <c r="L208" s="344"/>
      <c r="M208" s="344"/>
      <c r="N208" s="344"/>
      <c r="O208" s="345"/>
      <c r="P208" s="345"/>
      <c r="Q208" s="346"/>
      <c r="R208" s="347"/>
      <c r="S208" s="348"/>
      <c r="T208" s="348"/>
      <c r="U208" s="348"/>
      <c r="V208" s="349"/>
    </row>
    <row r="209" spans="1:22" s="350" customFormat="1" ht="21.75">
      <c r="A209" s="351" t="s">
        <v>293</v>
      </c>
      <c r="B209" s="345"/>
      <c r="C209" s="345"/>
      <c r="D209" s="345"/>
      <c r="E209" s="344">
        <v>36200</v>
      </c>
      <c r="F209" s="344">
        <v>57720</v>
      </c>
      <c r="G209" s="344"/>
      <c r="H209" s="344"/>
      <c r="I209" s="344"/>
      <c r="J209" s="344"/>
      <c r="K209" s="344"/>
      <c r="L209" s="344"/>
      <c r="M209" s="344"/>
      <c r="N209" s="344"/>
      <c r="O209" s="345"/>
      <c r="P209" s="345"/>
      <c r="Q209" s="346"/>
      <c r="R209" s="347"/>
      <c r="S209" s="348"/>
      <c r="T209" s="348"/>
      <c r="U209" s="348"/>
      <c r="V209" s="349"/>
    </row>
    <row r="210" spans="1:22" s="350" customFormat="1" ht="21.75">
      <c r="A210" s="351" t="s">
        <v>302</v>
      </c>
      <c r="B210" s="345"/>
      <c r="C210" s="345"/>
      <c r="D210" s="345"/>
      <c r="E210" s="344">
        <v>115863</v>
      </c>
      <c r="F210" s="344">
        <v>112232</v>
      </c>
      <c r="G210" s="344"/>
      <c r="H210" s="344"/>
      <c r="I210" s="344"/>
      <c r="J210" s="344"/>
      <c r="K210" s="344"/>
      <c r="L210" s="344"/>
      <c r="M210" s="344"/>
      <c r="N210" s="344"/>
      <c r="O210" s="345"/>
      <c r="P210" s="345"/>
      <c r="Q210" s="346"/>
      <c r="R210" s="347"/>
      <c r="S210" s="348"/>
      <c r="T210" s="348"/>
      <c r="U210" s="348"/>
      <c r="V210" s="349"/>
    </row>
    <row r="211" spans="1:22" s="350" customFormat="1" ht="21.75">
      <c r="A211" s="351" t="s">
        <v>303</v>
      </c>
      <c r="B211" s="345"/>
      <c r="C211" s="345"/>
      <c r="D211" s="345"/>
      <c r="E211" s="344">
        <v>58910</v>
      </c>
      <c r="F211" s="344">
        <v>51940</v>
      </c>
      <c r="G211" s="344"/>
      <c r="H211" s="344"/>
      <c r="I211" s="344"/>
      <c r="J211" s="344"/>
      <c r="K211" s="344"/>
      <c r="L211" s="344"/>
      <c r="M211" s="344"/>
      <c r="N211" s="344"/>
      <c r="O211" s="345"/>
      <c r="P211" s="345"/>
      <c r="Q211" s="346"/>
      <c r="R211" s="347"/>
      <c r="S211" s="348"/>
      <c r="T211" s="348"/>
      <c r="U211" s="348"/>
      <c r="V211" s="349"/>
    </row>
    <row r="212" spans="1:22" s="350" customFormat="1" ht="21.75">
      <c r="A212" s="351" t="s">
        <v>304</v>
      </c>
      <c r="B212" s="345"/>
      <c r="C212" s="345"/>
      <c r="D212" s="345"/>
      <c r="E212" s="344">
        <v>2400</v>
      </c>
      <c r="F212" s="344">
        <v>4800</v>
      </c>
      <c r="G212" s="344"/>
      <c r="H212" s="344"/>
      <c r="I212" s="344"/>
      <c r="J212" s="344"/>
      <c r="K212" s="344"/>
      <c r="L212" s="344"/>
      <c r="M212" s="344"/>
      <c r="N212" s="344"/>
      <c r="O212" s="345"/>
      <c r="P212" s="345"/>
      <c r="Q212" s="346"/>
      <c r="R212" s="347"/>
      <c r="S212" s="348"/>
      <c r="T212" s="348"/>
      <c r="U212" s="348"/>
      <c r="V212" s="349"/>
    </row>
    <row r="213" spans="1:22" s="350" customFormat="1" ht="21.75">
      <c r="A213" s="351" t="s">
        <v>305</v>
      </c>
      <c r="B213" s="345"/>
      <c r="C213" s="345"/>
      <c r="D213" s="345"/>
      <c r="E213" s="344">
        <v>116035.8</v>
      </c>
      <c r="F213" s="344">
        <v>102226</v>
      </c>
      <c r="G213" s="344"/>
      <c r="H213" s="344"/>
      <c r="I213" s="344"/>
      <c r="J213" s="344"/>
      <c r="K213" s="344"/>
      <c r="L213" s="344"/>
      <c r="M213" s="344"/>
      <c r="N213" s="344"/>
      <c r="O213" s="345"/>
      <c r="P213" s="345"/>
      <c r="Q213" s="346"/>
      <c r="R213" s="347"/>
      <c r="S213" s="348"/>
      <c r="T213" s="348"/>
      <c r="U213" s="348"/>
      <c r="V213" s="349"/>
    </row>
    <row r="214" spans="1:22" s="350" customFormat="1" ht="21.75">
      <c r="A214" s="351" t="s">
        <v>306</v>
      </c>
      <c r="B214" s="345"/>
      <c r="C214" s="345"/>
      <c r="D214" s="345"/>
      <c r="E214" s="344"/>
      <c r="F214" s="344"/>
      <c r="G214" s="344"/>
      <c r="H214" s="344"/>
      <c r="I214" s="344"/>
      <c r="J214" s="344"/>
      <c r="K214" s="344"/>
      <c r="L214" s="344"/>
      <c r="M214" s="344"/>
      <c r="N214" s="344"/>
      <c r="O214" s="345"/>
      <c r="P214" s="345"/>
      <c r="Q214" s="346"/>
      <c r="R214" s="347"/>
      <c r="S214" s="348"/>
      <c r="T214" s="348"/>
      <c r="U214" s="348"/>
      <c r="V214" s="349"/>
    </row>
    <row r="215" spans="1:22" s="350" customFormat="1" ht="21.75">
      <c r="A215" s="351" t="s">
        <v>294</v>
      </c>
      <c r="B215" s="345"/>
      <c r="C215" s="345"/>
      <c r="D215" s="345"/>
      <c r="E215" s="344">
        <v>2505</v>
      </c>
      <c r="F215" s="344"/>
      <c r="G215" s="344"/>
      <c r="H215" s="344"/>
      <c r="I215" s="344"/>
      <c r="J215" s="344"/>
      <c r="K215" s="344"/>
      <c r="L215" s="344"/>
      <c r="M215" s="344"/>
      <c r="N215" s="344"/>
      <c r="O215" s="345"/>
      <c r="P215" s="345"/>
      <c r="Q215" s="346"/>
      <c r="R215" s="347"/>
      <c r="S215" s="348"/>
      <c r="T215" s="348"/>
      <c r="U215" s="348"/>
      <c r="V215" s="349"/>
    </row>
    <row r="216" spans="1:22" s="350" customFormat="1" ht="21.75">
      <c r="A216" s="351" t="s">
        <v>307</v>
      </c>
      <c r="B216" s="345"/>
      <c r="C216" s="345"/>
      <c r="D216" s="345"/>
      <c r="E216" s="344">
        <v>1330</v>
      </c>
      <c r="F216" s="344">
        <v>2341</v>
      </c>
      <c r="G216" s="344"/>
      <c r="H216" s="344"/>
      <c r="I216" s="344"/>
      <c r="J216" s="344"/>
      <c r="K216" s="344"/>
      <c r="L216" s="344"/>
      <c r="M216" s="344"/>
      <c r="N216" s="344"/>
      <c r="O216" s="345"/>
      <c r="P216" s="345"/>
      <c r="Q216" s="346"/>
      <c r="R216" s="347"/>
      <c r="S216" s="348"/>
      <c r="T216" s="348"/>
      <c r="U216" s="348"/>
      <c r="V216" s="349"/>
    </row>
    <row r="217" spans="1:22" s="350" customFormat="1" ht="21.75">
      <c r="A217" s="351" t="s">
        <v>308</v>
      </c>
      <c r="B217" s="345"/>
      <c r="C217" s="345"/>
      <c r="D217" s="345"/>
      <c r="E217" s="344"/>
      <c r="F217" s="344">
        <v>1300</v>
      </c>
      <c r="G217" s="344"/>
      <c r="H217" s="344"/>
      <c r="I217" s="344"/>
      <c r="J217" s="344"/>
      <c r="K217" s="344"/>
      <c r="L217" s="344"/>
      <c r="M217" s="344"/>
      <c r="N217" s="344"/>
      <c r="O217" s="345"/>
      <c r="P217" s="345"/>
      <c r="Q217" s="346"/>
      <c r="R217" s="347"/>
      <c r="S217" s="348"/>
      <c r="T217" s="348"/>
      <c r="U217" s="348"/>
      <c r="V217" s="349"/>
    </row>
    <row r="218" spans="1:22" s="350" customFormat="1" ht="21.75">
      <c r="A218" s="351" t="s">
        <v>309</v>
      </c>
      <c r="B218" s="345"/>
      <c r="C218" s="345"/>
      <c r="D218" s="345"/>
      <c r="E218" s="344">
        <v>6229.7</v>
      </c>
      <c r="F218" s="344">
        <v>28682</v>
      </c>
      <c r="G218" s="344"/>
      <c r="H218" s="344"/>
      <c r="I218" s="344"/>
      <c r="J218" s="344"/>
      <c r="K218" s="344"/>
      <c r="L218" s="344"/>
      <c r="M218" s="344"/>
      <c r="N218" s="344"/>
      <c r="O218" s="345"/>
      <c r="P218" s="345"/>
      <c r="Q218" s="346"/>
      <c r="R218" s="347"/>
      <c r="S218" s="348"/>
      <c r="T218" s="348"/>
      <c r="U218" s="348"/>
      <c r="V218" s="349"/>
    </row>
    <row r="219" spans="1:22" s="350" customFormat="1" ht="21.75">
      <c r="A219" s="351" t="s">
        <v>310</v>
      </c>
      <c r="B219" s="345"/>
      <c r="C219" s="345"/>
      <c r="D219" s="345"/>
      <c r="E219" s="344">
        <v>65960</v>
      </c>
      <c r="F219" s="344"/>
      <c r="G219" s="344"/>
      <c r="H219" s="344"/>
      <c r="I219" s="344"/>
      <c r="J219" s="344"/>
      <c r="K219" s="344"/>
      <c r="L219" s="344"/>
      <c r="M219" s="344"/>
      <c r="N219" s="344"/>
      <c r="O219" s="345"/>
      <c r="P219" s="345"/>
      <c r="Q219" s="346"/>
      <c r="R219" s="347"/>
      <c r="S219" s="348"/>
      <c r="T219" s="348"/>
      <c r="U219" s="348"/>
      <c r="V219" s="349"/>
    </row>
    <row r="220" spans="1:22" s="350" customFormat="1" ht="21.75">
      <c r="A220" s="351" t="s">
        <v>311</v>
      </c>
      <c r="B220" s="345"/>
      <c r="C220" s="345"/>
      <c r="D220" s="345"/>
      <c r="E220" s="344"/>
      <c r="F220" s="344">
        <v>18820</v>
      </c>
      <c r="G220" s="344"/>
      <c r="H220" s="344"/>
      <c r="I220" s="344"/>
      <c r="J220" s="344"/>
      <c r="K220" s="344"/>
      <c r="L220" s="344"/>
      <c r="M220" s="344"/>
      <c r="N220" s="344"/>
      <c r="O220" s="345"/>
      <c r="P220" s="345"/>
      <c r="Q220" s="346"/>
      <c r="R220" s="347"/>
      <c r="S220" s="348"/>
      <c r="T220" s="348"/>
      <c r="U220" s="348"/>
      <c r="V220" s="349"/>
    </row>
    <row r="221" spans="1:22" s="350" customFormat="1" ht="21.75">
      <c r="A221" s="351" t="s">
        <v>312</v>
      </c>
      <c r="B221" s="345"/>
      <c r="C221" s="345"/>
      <c r="D221" s="345"/>
      <c r="E221" s="344">
        <v>11616.28</v>
      </c>
      <c r="F221" s="344"/>
      <c r="G221" s="344"/>
      <c r="H221" s="344"/>
      <c r="I221" s="344"/>
      <c r="J221" s="344"/>
      <c r="K221" s="344"/>
      <c r="L221" s="344"/>
      <c r="M221" s="344"/>
      <c r="N221" s="344"/>
      <c r="O221" s="345"/>
      <c r="P221" s="345"/>
      <c r="Q221" s="346"/>
      <c r="R221" s="347"/>
      <c r="S221" s="348"/>
      <c r="T221" s="348"/>
      <c r="U221" s="348"/>
      <c r="V221" s="349"/>
    </row>
    <row r="222" spans="1:22" s="350" customFormat="1" ht="21.75">
      <c r="A222" s="351" t="s">
        <v>313</v>
      </c>
      <c r="B222" s="345"/>
      <c r="C222" s="345"/>
      <c r="D222" s="345"/>
      <c r="E222" s="344"/>
      <c r="F222" s="344"/>
      <c r="G222" s="344"/>
      <c r="H222" s="344"/>
      <c r="I222" s="344"/>
      <c r="J222" s="344"/>
      <c r="K222" s="344"/>
      <c r="L222" s="344"/>
      <c r="M222" s="344"/>
      <c r="N222" s="344"/>
      <c r="O222" s="345"/>
      <c r="P222" s="345"/>
      <c r="Q222" s="346"/>
      <c r="R222" s="347"/>
      <c r="S222" s="348"/>
      <c r="T222" s="348"/>
      <c r="U222" s="348"/>
      <c r="V222" s="349"/>
    </row>
    <row r="223" spans="1:22" s="350" customFormat="1" ht="21.75">
      <c r="A223" s="351" t="s">
        <v>314</v>
      </c>
      <c r="B223" s="345"/>
      <c r="C223" s="345"/>
      <c r="D223" s="345"/>
      <c r="E223" s="344">
        <v>119661.95</v>
      </c>
      <c r="F223" s="344">
        <v>26000</v>
      </c>
      <c r="G223" s="344"/>
      <c r="H223" s="344"/>
      <c r="I223" s="344"/>
      <c r="J223" s="344"/>
      <c r="K223" s="344"/>
      <c r="L223" s="344"/>
      <c r="M223" s="344"/>
      <c r="N223" s="344"/>
      <c r="O223" s="345"/>
      <c r="P223" s="345"/>
      <c r="Q223" s="346"/>
      <c r="R223" s="347"/>
      <c r="S223" s="348"/>
      <c r="T223" s="348"/>
      <c r="U223" s="348"/>
      <c r="V223" s="349"/>
    </row>
    <row r="224" spans="1:22" s="350" customFormat="1" ht="21.75">
      <c r="A224" s="351" t="s">
        <v>315</v>
      </c>
      <c r="B224" s="345"/>
      <c r="C224" s="345"/>
      <c r="D224" s="345"/>
      <c r="E224" s="344">
        <v>4300</v>
      </c>
      <c r="F224" s="344"/>
      <c r="G224" s="344"/>
      <c r="H224" s="344"/>
      <c r="I224" s="344"/>
      <c r="J224" s="344"/>
      <c r="K224" s="344"/>
      <c r="L224" s="344"/>
      <c r="M224" s="344"/>
      <c r="N224" s="344"/>
      <c r="O224" s="345"/>
      <c r="P224" s="345"/>
      <c r="Q224" s="346"/>
      <c r="R224" s="347"/>
      <c r="S224" s="348"/>
      <c r="T224" s="348"/>
      <c r="U224" s="348"/>
      <c r="V224" s="349"/>
    </row>
    <row r="225" spans="1:22" s="350" customFormat="1" ht="21.75">
      <c r="A225" s="351" t="s">
        <v>316</v>
      </c>
      <c r="B225" s="345"/>
      <c r="C225" s="345"/>
      <c r="D225" s="345"/>
      <c r="E225" s="344"/>
      <c r="F225" s="344"/>
      <c r="G225" s="344"/>
      <c r="H225" s="344"/>
      <c r="I225" s="344"/>
      <c r="J225" s="344"/>
      <c r="K225" s="344"/>
      <c r="L225" s="344"/>
      <c r="M225" s="344"/>
      <c r="N225" s="344"/>
      <c r="O225" s="345"/>
      <c r="P225" s="345"/>
      <c r="Q225" s="346"/>
      <c r="R225" s="347"/>
      <c r="S225" s="348"/>
      <c r="T225" s="348"/>
      <c r="U225" s="348"/>
      <c r="V225" s="349"/>
    </row>
    <row r="226" spans="1:22" s="350" customFormat="1" ht="21.75">
      <c r="A226" s="351" t="s">
        <v>317</v>
      </c>
      <c r="B226" s="345"/>
      <c r="C226" s="345"/>
      <c r="D226" s="345"/>
      <c r="E226" s="344"/>
      <c r="F226" s="344"/>
      <c r="G226" s="344"/>
      <c r="H226" s="344"/>
      <c r="I226" s="344"/>
      <c r="J226" s="344"/>
      <c r="K226" s="344"/>
      <c r="L226" s="344"/>
      <c r="M226" s="344"/>
      <c r="N226" s="344"/>
      <c r="O226" s="345"/>
      <c r="P226" s="345"/>
      <c r="Q226" s="346"/>
      <c r="R226" s="347"/>
      <c r="S226" s="348"/>
      <c r="T226" s="348"/>
      <c r="U226" s="348"/>
      <c r="V226" s="349"/>
    </row>
    <row r="227" spans="1:22" s="350" customFormat="1" ht="21.75">
      <c r="A227" s="351" t="s">
        <v>318</v>
      </c>
      <c r="B227" s="345"/>
      <c r="C227" s="345"/>
      <c r="D227" s="345"/>
      <c r="E227" s="344">
        <v>7930</v>
      </c>
      <c r="F227" s="344">
        <v>29330</v>
      </c>
      <c r="G227" s="344"/>
      <c r="H227" s="344"/>
      <c r="I227" s="344"/>
      <c r="J227" s="344"/>
      <c r="K227" s="344"/>
      <c r="L227" s="344"/>
      <c r="M227" s="344"/>
      <c r="N227" s="344"/>
      <c r="O227" s="345"/>
      <c r="P227" s="345"/>
      <c r="Q227" s="346"/>
      <c r="R227" s="347"/>
      <c r="S227" s="348"/>
      <c r="T227" s="348"/>
      <c r="U227" s="348"/>
      <c r="V227" s="349"/>
    </row>
    <row r="228" spans="1:22" s="350" customFormat="1" ht="21.75">
      <c r="A228" s="351" t="s">
        <v>319</v>
      </c>
      <c r="B228" s="345"/>
      <c r="C228" s="345"/>
      <c r="D228" s="345"/>
      <c r="E228" s="344">
        <v>78750</v>
      </c>
      <c r="F228" s="344">
        <v>157500</v>
      </c>
      <c r="G228" s="344"/>
      <c r="H228" s="344"/>
      <c r="I228" s="344"/>
      <c r="J228" s="344"/>
      <c r="K228" s="344"/>
      <c r="L228" s="344"/>
      <c r="M228" s="344"/>
      <c r="N228" s="344"/>
      <c r="O228" s="345"/>
      <c r="P228" s="345"/>
      <c r="Q228" s="346"/>
      <c r="R228" s="347"/>
      <c r="S228" s="348"/>
      <c r="T228" s="348"/>
      <c r="U228" s="348"/>
      <c r="V228" s="349"/>
    </row>
    <row r="229" spans="1:22" s="350" customFormat="1" ht="21.75">
      <c r="A229" s="351" t="s">
        <v>320</v>
      </c>
      <c r="B229" s="345"/>
      <c r="C229" s="345"/>
      <c r="D229" s="345"/>
      <c r="E229" s="344"/>
      <c r="F229" s="344"/>
      <c r="G229" s="344"/>
      <c r="H229" s="344"/>
      <c r="I229" s="344"/>
      <c r="J229" s="344"/>
      <c r="K229" s="344"/>
      <c r="L229" s="344"/>
      <c r="M229" s="344"/>
      <c r="N229" s="344"/>
      <c r="O229" s="345"/>
      <c r="P229" s="345"/>
      <c r="Q229" s="346"/>
      <c r="R229" s="347"/>
      <c r="S229" s="348"/>
      <c r="T229" s="348"/>
      <c r="U229" s="348"/>
      <c r="V229" s="349"/>
    </row>
    <row r="230" spans="1:22" s="350" customFormat="1" ht="21.75">
      <c r="A230" s="351" t="s">
        <v>321</v>
      </c>
      <c r="B230" s="345"/>
      <c r="C230" s="345"/>
      <c r="D230" s="345"/>
      <c r="E230" s="344">
        <v>17707</v>
      </c>
      <c r="F230" s="344">
        <v>21378</v>
      </c>
      <c r="G230" s="344"/>
      <c r="H230" s="344"/>
      <c r="I230" s="344"/>
      <c r="J230" s="344"/>
      <c r="K230" s="344"/>
      <c r="L230" s="344"/>
      <c r="M230" s="344"/>
      <c r="N230" s="344"/>
      <c r="O230" s="345"/>
      <c r="P230" s="345"/>
      <c r="Q230" s="346"/>
      <c r="R230" s="347"/>
      <c r="S230" s="348"/>
      <c r="T230" s="348"/>
      <c r="U230" s="348"/>
      <c r="V230" s="349"/>
    </row>
    <row r="231" spans="1:22" s="350" customFormat="1" ht="21.75">
      <c r="A231" s="351" t="s">
        <v>322</v>
      </c>
      <c r="B231" s="345"/>
      <c r="C231" s="345"/>
      <c r="D231" s="345"/>
      <c r="E231" s="344"/>
      <c r="F231" s="344"/>
      <c r="G231" s="344"/>
      <c r="H231" s="344"/>
      <c r="I231" s="344"/>
      <c r="J231" s="344"/>
      <c r="K231" s="344"/>
      <c r="L231" s="344"/>
      <c r="M231" s="344"/>
      <c r="N231" s="344"/>
      <c r="O231" s="345"/>
      <c r="P231" s="345"/>
      <c r="Q231" s="346"/>
      <c r="R231" s="347"/>
      <c r="S231" s="348"/>
      <c r="T231" s="348"/>
      <c r="U231" s="348"/>
      <c r="V231" s="349"/>
    </row>
    <row r="232" spans="1:22" s="350" customFormat="1" ht="21.75">
      <c r="A232" s="351" t="s">
        <v>323</v>
      </c>
      <c r="B232" s="345"/>
      <c r="C232" s="345"/>
      <c r="D232" s="345"/>
      <c r="E232" s="344"/>
      <c r="F232" s="344"/>
      <c r="G232" s="344"/>
      <c r="H232" s="344"/>
      <c r="I232" s="344"/>
      <c r="J232" s="344"/>
      <c r="K232" s="344"/>
      <c r="L232" s="344"/>
      <c r="M232" s="344"/>
      <c r="N232" s="344"/>
      <c r="O232" s="345"/>
      <c r="P232" s="345"/>
      <c r="Q232" s="346"/>
      <c r="R232" s="347"/>
      <c r="S232" s="348"/>
      <c r="T232" s="348"/>
      <c r="U232" s="348"/>
      <c r="V232" s="349"/>
    </row>
    <row r="233" spans="1:22" s="350" customFormat="1" ht="21.75">
      <c r="A233" s="351" t="s">
        <v>324</v>
      </c>
      <c r="B233" s="345"/>
      <c r="C233" s="345"/>
      <c r="D233" s="345"/>
      <c r="E233" s="344"/>
      <c r="F233" s="344"/>
      <c r="G233" s="344"/>
      <c r="H233" s="344"/>
      <c r="I233" s="344"/>
      <c r="J233" s="344"/>
      <c r="K233" s="344"/>
      <c r="L233" s="344"/>
      <c r="M233" s="344"/>
      <c r="N233" s="344"/>
      <c r="O233" s="345"/>
      <c r="P233" s="345"/>
      <c r="Q233" s="346"/>
      <c r="R233" s="347"/>
      <c r="S233" s="348"/>
      <c r="T233" s="348"/>
      <c r="U233" s="348"/>
      <c r="V233" s="349"/>
    </row>
    <row r="234" spans="1:22" s="350" customFormat="1" ht="21.75">
      <c r="A234" s="351" t="s">
        <v>325</v>
      </c>
      <c r="B234" s="345"/>
      <c r="C234" s="345"/>
      <c r="D234" s="345"/>
      <c r="E234" s="344"/>
      <c r="F234" s="344"/>
      <c r="G234" s="344"/>
      <c r="H234" s="344"/>
      <c r="I234" s="344"/>
      <c r="J234" s="344"/>
      <c r="K234" s="344"/>
      <c r="L234" s="344"/>
      <c r="M234" s="344"/>
      <c r="N234" s="344"/>
      <c r="O234" s="345"/>
      <c r="P234" s="345"/>
      <c r="Q234" s="346"/>
      <c r="R234" s="347"/>
      <c r="S234" s="348"/>
      <c r="T234" s="348"/>
      <c r="U234" s="348"/>
      <c r="V234" s="349"/>
    </row>
    <row r="235" spans="1:22" s="350" customFormat="1" ht="21.75">
      <c r="A235" s="351" t="s">
        <v>326</v>
      </c>
      <c r="B235" s="345"/>
      <c r="C235" s="345"/>
      <c r="D235" s="345"/>
      <c r="E235" s="344"/>
      <c r="F235" s="344"/>
      <c r="G235" s="344"/>
      <c r="H235" s="344"/>
      <c r="I235" s="344"/>
      <c r="J235" s="344"/>
      <c r="K235" s="344"/>
      <c r="L235" s="344"/>
      <c r="M235" s="344"/>
      <c r="N235" s="344"/>
      <c r="O235" s="345"/>
      <c r="P235" s="345"/>
      <c r="Q235" s="346"/>
      <c r="R235" s="347"/>
      <c r="S235" s="348"/>
      <c r="T235" s="348"/>
      <c r="U235" s="348"/>
      <c r="V235" s="349"/>
    </row>
    <row r="236" spans="1:22" s="350" customFormat="1" ht="21.75">
      <c r="A236" s="351" t="s">
        <v>325</v>
      </c>
      <c r="B236" s="345"/>
      <c r="C236" s="345"/>
      <c r="D236" s="345"/>
      <c r="E236" s="344"/>
      <c r="F236" s="344"/>
      <c r="G236" s="344"/>
      <c r="H236" s="344"/>
      <c r="I236" s="344"/>
      <c r="J236" s="344"/>
      <c r="K236" s="344"/>
      <c r="L236" s="344"/>
      <c r="M236" s="344"/>
      <c r="N236" s="344"/>
      <c r="O236" s="345"/>
      <c r="P236" s="345"/>
      <c r="Q236" s="346"/>
      <c r="R236" s="347"/>
      <c r="S236" s="348"/>
      <c r="T236" s="348"/>
      <c r="U236" s="348"/>
      <c r="V236" s="349"/>
    </row>
    <row r="237" spans="1:22" s="350" customFormat="1" ht="21.75">
      <c r="A237" s="351" t="s">
        <v>327</v>
      </c>
      <c r="B237" s="345"/>
      <c r="C237" s="345"/>
      <c r="D237" s="345"/>
      <c r="E237" s="344"/>
      <c r="F237" s="344"/>
      <c r="G237" s="344"/>
      <c r="H237" s="344"/>
      <c r="I237" s="344"/>
      <c r="J237" s="344"/>
      <c r="K237" s="344"/>
      <c r="L237" s="344"/>
      <c r="M237" s="344"/>
      <c r="N237" s="344"/>
      <c r="O237" s="345"/>
      <c r="P237" s="345"/>
      <c r="Q237" s="346"/>
      <c r="R237" s="347"/>
      <c r="S237" s="348"/>
      <c r="T237" s="348"/>
      <c r="U237" s="348"/>
      <c r="V237" s="349"/>
    </row>
    <row r="238" spans="1:22" s="350" customFormat="1" ht="21.75">
      <c r="A238" s="351" t="s">
        <v>328</v>
      </c>
      <c r="B238" s="345"/>
      <c r="C238" s="345"/>
      <c r="D238" s="345"/>
      <c r="E238" s="356">
        <v>642300</v>
      </c>
      <c r="F238" s="356"/>
      <c r="G238" s="356"/>
      <c r="H238" s="356"/>
      <c r="I238" s="356"/>
      <c r="J238" s="356"/>
      <c r="K238" s="356"/>
      <c r="L238" s="356"/>
      <c r="M238" s="356"/>
      <c r="N238" s="356"/>
      <c r="O238" s="357"/>
      <c r="P238" s="357"/>
      <c r="Q238" s="358"/>
      <c r="R238" s="357"/>
      <c r="S238" s="357"/>
      <c r="T238" s="357"/>
      <c r="U238" s="357"/>
      <c r="V238" s="359"/>
    </row>
    <row r="239" spans="1:22" s="350" customFormat="1" ht="21.75">
      <c r="A239" s="351" t="s">
        <v>329</v>
      </c>
      <c r="B239" s="345"/>
      <c r="C239" s="345"/>
      <c r="D239" s="345"/>
      <c r="E239" s="360"/>
      <c r="F239" s="360"/>
      <c r="G239" s="360"/>
      <c r="H239" s="360"/>
      <c r="I239" s="360"/>
      <c r="J239" s="360"/>
      <c r="K239" s="360"/>
      <c r="L239" s="360"/>
      <c r="M239" s="360"/>
      <c r="N239" s="360"/>
      <c r="O239" s="343"/>
      <c r="P239" s="343"/>
      <c r="Q239" s="361"/>
      <c r="R239" s="362"/>
      <c r="S239" s="363"/>
      <c r="T239" s="363"/>
      <c r="U239" s="363"/>
      <c r="V239" s="364"/>
    </row>
    <row r="240" spans="1:22" s="350" customFormat="1" ht="21.75">
      <c r="A240" s="351" t="s">
        <v>330</v>
      </c>
      <c r="B240" s="345"/>
      <c r="C240" s="345"/>
      <c r="D240" s="345"/>
      <c r="E240" s="344"/>
      <c r="F240" s="344">
        <v>20900</v>
      </c>
      <c r="G240" s="344"/>
      <c r="H240" s="344"/>
      <c r="I240" s="344"/>
      <c r="J240" s="344"/>
      <c r="K240" s="344"/>
      <c r="L240" s="344"/>
      <c r="M240" s="344"/>
      <c r="N240" s="344"/>
      <c r="O240" s="345"/>
      <c r="P240" s="345"/>
      <c r="Q240" s="346"/>
      <c r="R240" s="347"/>
      <c r="S240" s="348"/>
      <c r="T240" s="348"/>
      <c r="U240" s="348"/>
      <c r="V240" s="349"/>
    </row>
    <row r="241" spans="1:22" s="350" customFormat="1" ht="21.75">
      <c r="A241" s="351" t="s">
        <v>331</v>
      </c>
      <c r="B241" s="345"/>
      <c r="C241" s="345"/>
      <c r="D241" s="345"/>
      <c r="E241" s="344"/>
      <c r="F241" s="344"/>
      <c r="G241" s="344"/>
      <c r="H241" s="344"/>
      <c r="I241" s="344"/>
      <c r="J241" s="344"/>
      <c r="K241" s="344"/>
      <c r="L241" s="344"/>
      <c r="M241" s="344"/>
      <c r="N241" s="344"/>
      <c r="O241" s="345"/>
      <c r="P241" s="345"/>
      <c r="Q241" s="346"/>
      <c r="R241" s="347"/>
      <c r="S241" s="348"/>
      <c r="T241" s="348"/>
      <c r="U241" s="348"/>
      <c r="V241" s="349"/>
    </row>
    <row r="242" spans="1:22" s="350" customFormat="1" ht="21.75">
      <c r="A242" s="351" t="s">
        <v>366</v>
      </c>
      <c r="B242" s="345"/>
      <c r="C242" s="345"/>
      <c r="D242" s="345"/>
      <c r="E242" s="344"/>
      <c r="F242" s="344">
        <v>39500</v>
      </c>
      <c r="G242" s="344"/>
      <c r="H242" s="344"/>
      <c r="I242" s="344"/>
      <c r="J242" s="344"/>
      <c r="K242" s="344"/>
      <c r="L242" s="344"/>
      <c r="M242" s="344"/>
      <c r="N242" s="344"/>
      <c r="O242" s="345"/>
      <c r="P242" s="345"/>
      <c r="Q242" s="346"/>
      <c r="R242" s="347"/>
      <c r="S242" s="348"/>
      <c r="T242" s="348"/>
      <c r="U242" s="348"/>
      <c r="V242" s="349"/>
    </row>
    <row r="243" spans="1:22" s="350" customFormat="1" ht="21.75">
      <c r="A243" s="351" t="s">
        <v>350</v>
      </c>
      <c r="B243" s="345"/>
      <c r="C243" s="345"/>
      <c r="D243" s="345"/>
      <c r="E243" s="344">
        <v>38486.5</v>
      </c>
      <c r="F243" s="344">
        <v>62206.5</v>
      </c>
      <c r="G243" s="344"/>
      <c r="H243" s="344"/>
      <c r="I243" s="344"/>
      <c r="J243" s="344"/>
      <c r="K243" s="344"/>
      <c r="L243" s="344"/>
      <c r="M243" s="344"/>
      <c r="N243" s="344"/>
      <c r="O243" s="345"/>
      <c r="P243" s="345"/>
      <c r="Q243" s="346"/>
      <c r="R243" s="347"/>
      <c r="S243" s="348"/>
      <c r="T243" s="348"/>
      <c r="U243" s="348"/>
      <c r="V243" s="349"/>
    </row>
    <row r="244" spans="1:22" s="350" customFormat="1" ht="21.75">
      <c r="A244" s="351" t="s">
        <v>351</v>
      </c>
      <c r="B244" s="345"/>
      <c r="C244" s="345"/>
      <c r="D244" s="345"/>
      <c r="E244" s="344">
        <v>73000</v>
      </c>
      <c r="F244" s="344">
        <v>73000</v>
      </c>
      <c r="G244" s="344"/>
      <c r="H244" s="344"/>
      <c r="I244" s="344"/>
      <c r="J244" s="344"/>
      <c r="K244" s="344"/>
      <c r="L244" s="344"/>
      <c r="M244" s="344"/>
      <c r="N244" s="344"/>
      <c r="O244" s="345"/>
      <c r="P244" s="345"/>
      <c r="Q244" s="346"/>
      <c r="R244" s="347"/>
      <c r="S244" s="348"/>
      <c r="T244" s="348"/>
      <c r="U244" s="348"/>
      <c r="V244" s="349"/>
    </row>
    <row r="245" spans="1:22" s="350" customFormat="1" ht="21.75">
      <c r="A245" s="351" t="s">
        <v>352</v>
      </c>
      <c r="B245" s="345"/>
      <c r="C245" s="345"/>
      <c r="D245" s="345"/>
      <c r="E245" s="344">
        <v>7511.4</v>
      </c>
      <c r="F245" s="344">
        <v>13482</v>
      </c>
      <c r="G245" s="344"/>
      <c r="H245" s="344"/>
      <c r="I245" s="344"/>
      <c r="J245" s="344"/>
      <c r="K245" s="344"/>
      <c r="L245" s="344"/>
      <c r="M245" s="344"/>
      <c r="N245" s="344"/>
      <c r="O245" s="345"/>
      <c r="P245" s="345"/>
      <c r="Q245" s="346"/>
      <c r="R245" s="347"/>
      <c r="S245" s="348"/>
      <c r="T245" s="348"/>
      <c r="U245" s="348"/>
      <c r="V245" s="349"/>
    </row>
    <row r="246" spans="1:22" s="350" customFormat="1" ht="21.75">
      <c r="A246" s="351" t="s">
        <v>353</v>
      </c>
      <c r="B246" s="345"/>
      <c r="C246" s="345"/>
      <c r="D246" s="345"/>
      <c r="E246" s="344">
        <v>14214.7</v>
      </c>
      <c r="F246" s="344">
        <v>75804.7</v>
      </c>
      <c r="G246" s="344"/>
      <c r="H246" s="344"/>
      <c r="I246" s="344"/>
      <c r="J246" s="344"/>
      <c r="K246" s="344"/>
      <c r="L246" s="344"/>
      <c r="M246" s="344"/>
      <c r="N246" s="344"/>
      <c r="O246" s="345"/>
      <c r="P246" s="345"/>
      <c r="Q246" s="346"/>
      <c r="R246" s="347"/>
      <c r="S246" s="348"/>
      <c r="T246" s="348"/>
      <c r="U246" s="348"/>
      <c r="V246" s="349"/>
    </row>
    <row r="247" spans="1:22" s="350" customFormat="1" ht="21.75">
      <c r="A247" s="351" t="s">
        <v>354</v>
      </c>
      <c r="B247" s="345"/>
      <c r="C247" s="345"/>
      <c r="D247" s="345"/>
      <c r="E247" s="344">
        <v>530200</v>
      </c>
      <c r="F247" s="344">
        <v>243400</v>
      </c>
      <c r="G247" s="344"/>
      <c r="H247" s="344"/>
      <c r="I247" s="344"/>
      <c r="J247" s="344"/>
      <c r="K247" s="344"/>
      <c r="L247" s="344"/>
      <c r="M247" s="344"/>
      <c r="N247" s="344"/>
      <c r="O247" s="345"/>
      <c r="P247" s="345"/>
      <c r="Q247" s="346"/>
      <c r="R247" s="347"/>
      <c r="S247" s="348"/>
      <c r="T247" s="348"/>
      <c r="U247" s="348"/>
      <c r="V247" s="349"/>
    </row>
    <row r="248" spans="1:22" s="350" customFormat="1" ht="21.75">
      <c r="A248" s="351" t="s">
        <v>337</v>
      </c>
      <c r="B248" s="345"/>
      <c r="C248" s="345"/>
      <c r="D248" s="345"/>
      <c r="E248" s="344">
        <v>3751194.8</v>
      </c>
      <c r="F248" s="344">
        <v>3984377.93</v>
      </c>
      <c r="G248" s="344"/>
      <c r="H248" s="344"/>
      <c r="I248" s="344"/>
      <c r="J248" s="344"/>
      <c r="K248" s="344"/>
      <c r="L248" s="344"/>
      <c r="M248" s="344"/>
      <c r="N248" s="344"/>
      <c r="O248" s="345"/>
      <c r="P248" s="345"/>
      <c r="Q248" s="346"/>
      <c r="R248" s="347"/>
      <c r="S248" s="348"/>
      <c r="T248" s="348"/>
      <c r="U248" s="348"/>
      <c r="V248" s="349"/>
    </row>
    <row r="249" spans="1:22" s="350" customFormat="1" ht="21.75">
      <c r="A249" s="351" t="s">
        <v>338</v>
      </c>
      <c r="B249" s="345"/>
      <c r="C249" s="345"/>
      <c r="D249" s="345"/>
      <c r="E249" s="344">
        <v>3383</v>
      </c>
      <c r="F249" s="344">
        <v>4170</v>
      </c>
      <c r="G249" s="344"/>
      <c r="H249" s="344"/>
      <c r="I249" s="344"/>
      <c r="J249" s="344"/>
      <c r="K249" s="344"/>
      <c r="L249" s="344"/>
      <c r="M249" s="344"/>
      <c r="N249" s="344"/>
      <c r="O249" s="345"/>
      <c r="P249" s="345"/>
      <c r="Q249" s="346"/>
      <c r="R249" s="347"/>
      <c r="S249" s="348"/>
      <c r="T249" s="348"/>
      <c r="U249" s="348"/>
      <c r="V249" s="349"/>
    </row>
    <row r="250" spans="1:22" s="350" customFormat="1" ht="21.75">
      <c r="A250" s="351" t="s">
        <v>339</v>
      </c>
      <c r="B250" s="345"/>
      <c r="C250" s="345"/>
      <c r="D250" s="345"/>
      <c r="E250" s="344">
        <v>1363</v>
      </c>
      <c r="F250" s="344">
        <v>1363</v>
      </c>
      <c r="G250" s="344"/>
      <c r="H250" s="344"/>
      <c r="I250" s="344"/>
      <c r="J250" s="344"/>
      <c r="K250" s="344"/>
      <c r="L250" s="344"/>
      <c r="M250" s="344"/>
      <c r="N250" s="344"/>
      <c r="O250" s="345"/>
      <c r="P250" s="345"/>
      <c r="Q250" s="346"/>
      <c r="R250" s="347"/>
      <c r="S250" s="348"/>
      <c r="T250" s="348"/>
      <c r="U250" s="348"/>
      <c r="V250" s="349"/>
    </row>
    <row r="251" spans="1:22" s="350" customFormat="1" ht="21.75">
      <c r="A251" s="352" t="s">
        <v>301</v>
      </c>
      <c r="B251" s="353"/>
      <c r="C251" s="353">
        <f>SUM(C204:C241)</f>
        <v>0</v>
      </c>
      <c r="D251" s="353">
        <f>SUM(D204:D241)</f>
        <v>0</v>
      </c>
      <c r="E251" s="354">
        <f>SUM(E204:E250)</f>
        <v>8532762.96</v>
      </c>
      <c r="F251" s="354">
        <f>SUM(F204:F250)</f>
        <v>10054117.38</v>
      </c>
      <c r="G251" s="354">
        <f aca="true" t="shared" si="42" ref="G251:T251">SUM(G204:G250)</f>
        <v>0</v>
      </c>
      <c r="H251" s="354">
        <f t="shared" si="42"/>
        <v>0</v>
      </c>
      <c r="I251" s="354">
        <f t="shared" si="42"/>
        <v>0</v>
      </c>
      <c r="J251" s="354">
        <f t="shared" si="42"/>
        <v>0</v>
      </c>
      <c r="K251" s="354">
        <f t="shared" si="42"/>
        <v>0</v>
      </c>
      <c r="L251" s="354">
        <f t="shared" si="42"/>
        <v>0</v>
      </c>
      <c r="M251" s="354">
        <f t="shared" si="42"/>
        <v>0</v>
      </c>
      <c r="N251" s="354">
        <f t="shared" si="42"/>
        <v>0</v>
      </c>
      <c r="O251" s="354">
        <f t="shared" si="42"/>
        <v>0</v>
      </c>
      <c r="P251" s="354">
        <f t="shared" si="42"/>
        <v>0</v>
      </c>
      <c r="Q251" s="354">
        <f t="shared" si="42"/>
        <v>0</v>
      </c>
      <c r="R251" s="354">
        <f t="shared" si="42"/>
        <v>0</v>
      </c>
      <c r="S251" s="354">
        <f t="shared" si="42"/>
        <v>0</v>
      </c>
      <c r="T251" s="354">
        <f t="shared" si="42"/>
        <v>0</v>
      </c>
      <c r="U251" s="353"/>
      <c r="V251" s="365"/>
    </row>
    <row r="252" spans="1:22" s="341" customFormat="1" ht="21.75">
      <c r="A252" s="335" t="s">
        <v>359</v>
      </c>
      <c r="B252" s="336"/>
      <c r="C252" s="336" t="s">
        <v>347</v>
      </c>
      <c r="D252" s="336" t="s">
        <v>348</v>
      </c>
      <c r="E252" s="7" t="s">
        <v>114</v>
      </c>
      <c r="F252" s="9" t="s">
        <v>164</v>
      </c>
      <c r="G252" s="9" t="s">
        <v>165</v>
      </c>
      <c r="H252" s="9" t="s">
        <v>166</v>
      </c>
      <c r="I252" s="9" t="s">
        <v>167</v>
      </c>
      <c r="J252" s="9" t="s">
        <v>168</v>
      </c>
      <c r="K252" s="9" t="s">
        <v>169</v>
      </c>
      <c r="L252" s="9" t="s">
        <v>170</v>
      </c>
      <c r="M252" s="9" t="s">
        <v>171</v>
      </c>
      <c r="N252" s="9" t="s">
        <v>172</v>
      </c>
      <c r="O252" s="9" t="s">
        <v>173</v>
      </c>
      <c r="P252" s="9" t="s">
        <v>174</v>
      </c>
      <c r="Q252" s="337" t="s">
        <v>1</v>
      </c>
      <c r="R252" s="338" t="s">
        <v>2</v>
      </c>
      <c r="S252" s="339" t="s">
        <v>288</v>
      </c>
      <c r="T252" s="339" t="s">
        <v>3</v>
      </c>
      <c r="U252" s="339" t="s">
        <v>4</v>
      </c>
      <c r="V252" s="340" t="s">
        <v>5</v>
      </c>
    </row>
    <row r="253" spans="1:22" s="350" customFormat="1" ht="21.75">
      <c r="A253" s="351" t="s">
        <v>332</v>
      </c>
      <c r="B253" s="366"/>
      <c r="C253" s="366"/>
      <c r="D253" s="345"/>
      <c r="E253" s="344">
        <v>43492</v>
      </c>
      <c r="F253" s="344">
        <v>43492</v>
      </c>
      <c r="G253" s="344"/>
      <c r="H253" s="344"/>
      <c r="I253" s="344"/>
      <c r="J253" s="344"/>
      <c r="K253" s="344"/>
      <c r="L253" s="344"/>
      <c r="M253" s="344"/>
      <c r="N253" s="344"/>
      <c r="O253" s="345"/>
      <c r="P253" s="345"/>
      <c r="Q253" s="346"/>
      <c r="R253" s="347"/>
      <c r="S253" s="348"/>
      <c r="T253" s="348"/>
      <c r="U253" s="348"/>
      <c r="V253" s="349"/>
    </row>
    <row r="254" spans="1:22" s="350" customFormat="1" ht="21.75">
      <c r="A254" s="351" t="s">
        <v>333</v>
      </c>
      <c r="B254" s="366"/>
      <c r="C254" s="366"/>
      <c r="D254" s="345"/>
      <c r="E254" s="344">
        <v>920</v>
      </c>
      <c r="F254" s="344">
        <v>23140</v>
      </c>
      <c r="G254" s="344"/>
      <c r="H254" s="344"/>
      <c r="I254" s="344"/>
      <c r="J254" s="344"/>
      <c r="K254" s="344"/>
      <c r="L254" s="344"/>
      <c r="M254" s="344"/>
      <c r="N254" s="344"/>
      <c r="O254" s="345"/>
      <c r="P254" s="345"/>
      <c r="Q254" s="346"/>
      <c r="R254" s="347"/>
      <c r="S254" s="348"/>
      <c r="T254" s="348"/>
      <c r="U254" s="348"/>
      <c r="V254" s="349"/>
    </row>
    <row r="255" spans="1:22" s="350" customFormat="1" ht="21.75">
      <c r="A255" s="351" t="s">
        <v>355</v>
      </c>
      <c r="B255" s="366"/>
      <c r="C255" s="366"/>
      <c r="D255" s="345"/>
      <c r="E255" s="344">
        <v>95000</v>
      </c>
      <c r="F255" s="344">
        <v>95000</v>
      </c>
      <c r="G255" s="344"/>
      <c r="H255" s="344"/>
      <c r="I255" s="344"/>
      <c r="J255" s="344"/>
      <c r="K255" s="344"/>
      <c r="L255" s="344"/>
      <c r="M255" s="344"/>
      <c r="N255" s="344"/>
      <c r="O255" s="345"/>
      <c r="P255" s="345"/>
      <c r="Q255" s="346"/>
      <c r="R255" s="347"/>
      <c r="S255" s="348"/>
      <c r="T255" s="348"/>
      <c r="U255" s="348"/>
      <c r="V255" s="349"/>
    </row>
    <row r="256" spans="1:22" s="350" customFormat="1" ht="21.75">
      <c r="A256" s="351" t="s">
        <v>334</v>
      </c>
      <c r="B256" s="366"/>
      <c r="C256" s="366"/>
      <c r="D256" s="345"/>
      <c r="E256" s="344">
        <v>908870</v>
      </c>
      <c r="F256" s="344">
        <v>798520</v>
      </c>
      <c r="G256" s="344"/>
      <c r="H256" s="344"/>
      <c r="I256" s="344"/>
      <c r="J256" s="344"/>
      <c r="K256" s="344"/>
      <c r="L256" s="344"/>
      <c r="M256" s="344"/>
      <c r="N256" s="344"/>
      <c r="O256" s="345"/>
      <c r="P256" s="345"/>
      <c r="Q256" s="346"/>
      <c r="R256" s="347"/>
      <c r="S256" s="348"/>
      <c r="T256" s="348"/>
      <c r="U256" s="348"/>
      <c r="V256" s="349"/>
    </row>
    <row r="257" spans="1:22" s="350" customFormat="1" ht="21.75">
      <c r="A257" s="351" t="s">
        <v>335</v>
      </c>
      <c r="B257" s="366"/>
      <c r="C257" s="366"/>
      <c r="D257" s="345"/>
      <c r="E257" s="344">
        <v>121705</v>
      </c>
      <c r="F257" s="344">
        <v>106895</v>
      </c>
      <c r="G257" s="344"/>
      <c r="H257" s="344"/>
      <c r="I257" s="344"/>
      <c r="J257" s="344"/>
      <c r="K257" s="344"/>
      <c r="L257" s="344"/>
      <c r="M257" s="344"/>
      <c r="N257" s="344"/>
      <c r="O257" s="345"/>
      <c r="P257" s="345"/>
      <c r="Q257" s="346"/>
      <c r="R257" s="347"/>
      <c r="S257" s="348"/>
      <c r="T257" s="348"/>
      <c r="U257" s="348"/>
      <c r="V257" s="349"/>
    </row>
    <row r="258" spans="1:22" s="350" customFormat="1" ht="21.75">
      <c r="A258" s="351" t="s">
        <v>358</v>
      </c>
      <c r="B258" s="366"/>
      <c r="C258" s="366"/>
      <c r="D258" s="345"/>
      <c r="E258" s="344">
        <v>6500</v>
      </c>
      <c r="F258" s="344">
        <v>6500</v>
      </c>
      <c r="G258" s="344"/>
      <c r="H258" s="344"/>
      <c r="I258" s="344"/>
      <c r="J258" s="344"/>
      <c r="K258" s="344"/>
      <c r="L258" s="344"/>
      <c r="M258" s="344"/>
      <c r="N258" s="344"/>
      <c r="O258" s="345"/>
      <c r="P258" s="345"/>
      <c r="Q258" s="346"/>
      <c r="R258" s="347"/>
      <c r="S258" s="348"/>
      <c r="T258" s="348"/>
      <c r="U258" s="348"/>
      <c r="V258" s="349"/>
    </row>
    <row r="259" spans="1:22" s="350" customFormat="1" ht="21.75">
      <c r="A259" s="351" t="s">
        <v>356</v>
      </c>
      <c r="B259" s="366"/>
      <c r="C259" s="366"/>
      <c r="D259" s="345"/>
      <c r="E259" s="344">
        <v>31220</v>
      </c>
      <c r="F259" s="344">
        <v>30440</v>
      </c>
      <c r="G259" s="344"/>
      <c r="H259" s="344"/>
      <c r="I259" s="344"/>
      <c r="J259" s="344"/>
      <c r="K259" s="344"/>
      <c r="L259" s="344"/>
      <c r="M259" s="344"/>
      <c r="N259" s="344"/>
      <c r="O259" s="345"/>
      <c r="P259" s="345"/>
      <c r="Q259" s="346"/>
      <c r="R259" s="347"/>
      <c r="S259" s="348"/>
      <c r="T259" s="348"/>
      <c r="U259" s="348"/>
      <c r="V259" s="349"/>
    </row>
    <row r="260" spans="1:22" s="350" customFormat="1" ht="21.75">
      <c r="A260" s="351" t="s">
        <v>357</v>
      </c>
      <c r="B260" s="366"/>
      <c r="C260" s="366"/>
      <c r="D260" s="345"/>
      <c r="E260" s="344">
        <v>316500</v>
      </c>
      <c r="F260" s="344">
        <v>567800</v>
      </c>
      <c r="G260" s="344"/>
      <c r="H260" s="344"/>
      <c r="I260" s="344"/>
      <c r="J260" s="344"/>
      <c r="K260" s="344"/>
      <c r="L260" s="344"/>
      <c r="M260" s="344"/>
      <c r="N260" s="344"/>
      <c r="O260" s="345"/>
      <c r="P260" s="345"/>
      <c r="Q260" s="346"/>
      <c r="R260" s="347"/>
      <c r="S260" s="348"/>
      <c r="T260" s="348"/>
      <c r="U260" s="348"/>
      <c r="V260" s="349"/>
    </row>
    <row r="261" spans="1:22" s="350" customFormat="1" ht="21.75">
      <c r="A261" s="351" t="s">
        <v>336</v>
      </c>
      <c r="B261" s="366"/>
      <c r="C261" s="366"/>
      <c r="D261" s="345"/>
      <c r="E261" s="344">
        <v>241053.78</v>
      </c>
      <c r="F261" s="344">
        <v>208868.31</v>
      </c>
      <c r="G261" s="344"/>
      <c r="H261" s="344"/>
      <c r="I261" s="344"/>
      <c r="J261" s="344"/>
      <c r="K261" s="344"/>
      <c r="L261" s="344"/>
      <c r="M261" s="344"/>
      <c r="N261" s="344"/>
      <c r="O261" s="345"/>
      <c r="P261" s="345"/>
      <c r="Q261" s="346"/>
      <c r="R261" s="347"/>
      <c r="S261" s="348"/>
      <c r="T261" s="348"/>
      <c r="U261" s="348"/>
      <c r="V261" s="349"/>
    </row>
    <row r="262" spans="1:22" s="350" customFormat="1" ht="21.75">
      <c r="A262" s="352" t="s">
        <v>301</v>
      </c>
      <c r="B262" s="353"/>
      <c r="C262" s="353">
        <f aca="true" t="shared" si="43" ref="C262:P262">SUM(C253:C261)</f>
        <v>0</v>
      </c>
      <c r="D262" s="353">
        <f t="shared" si="43"/>
        <v>0</v>
      </c>
      <c r="E262" s="354">
        <f t="shared" si="43"/>
        <v>1765260.78</v>
      </c>
      <c r="F262" s="354">
        <f t="shared" si="43"/>
        <v>1880655.31</v>
      </c>
      <c r="G262" s="354">
        <f t="shared" si="43"/>
        <v>0</v>
      </c>
      <c r="H262" s="354">
        <f t="shared" si="43"/>
        <v>0</v>
      </c>
      <c r="I262" s="354">
        <f t="shared" si="43"/>
        <v>0</v>
      </c>
      <c r="J262" s="354">
        <f t="shared" si="43"/>
        <v>0</v>
      </c>
      <c r="K262" s="354">
        <f t="shared" si="43"/>
        <v>0</v>
      </c>
      <c r="L262" s="354">
        <f t="shared" si="43"/>
        <v>0</v>
      </c>
      <c r="M262" s="354">
        <f t="shared" si="43"/>
        <v>0</v>
      </c>
      <c r="N262" s="354">
        <f t="shared" si="43"/>
        <v>0</v>
      </c>
      <c r="O262" s="353">
        <f t="shared" si="43"/>
        <v>0</v>
      </c>
      <c r="P262" s="353">
        <f t="shared" si="43"/>
        <v>0</v>
      </c>
      <c r="Q262" s="346"/>
      <c r="R262" s="347"/>
      <c r="S262" s="348"/>
      <c r="T262" s="348"/>
      <c r="U262" s="348"/>
      <c r="V262" s="349"/>
    </row>
    <row r="263" spans="1:22" s="341" customFormat="1" ht="21.75">
      <c r="A263" s="335" t="s">
        <v>360</v>
      </c>
      <c r="B263" s="336"/>
      <c r="C263" s="336" t="s">
        <v>347</v>
      </c>
      <c r="D263" s="336" t="s">
        <v>348</v>
      </c>
      <c r="E263" s="7" t="s">
        <v>114</v>
      </c>
      <c r="F263" s="9" t="s">
        <v>164</v>
      </c>
      <c r="G263" s="9" t="s">
        <v>165</v>
      </c>
      <c r="H263" s="9" t="s">
        <v>166</v>
      </c>
      <c r="I263" s="9" t="s">
        <v>167</v>
      </c>
      <c r="J263" s="9" t="s">
        <v>168</v>
      </c>
      <c r="K263" s="9" t="s">
        <v>169</v>
      </c>
      <c r="L263" s="9" t="s">
        <v>170</v>
      </c>
      <c r="M263" s="9" t="s">
        <v>171</v>
      </c>
      <c r="N263" s="9" t="s">
        <v>172</v>
      </c>
      <c r="O263" s="9" t="s">
        <v>173</v>
      </c>
      <c r="P263" s="9" t="s">
        <v>174</v>
      </c>
      <c r="Q263" s="337" t="s">
        <v>1</v>
      </c>
      <c r="R263" s="338" t="s">
        <v>2</v>
      </c>
      <c r="S263" s="339" t="s">
        <v>288</v>
      </c>
      <c r="T263" s="339" t="s">
        <v>3</v>
      </c>
      <c r="U263" s="339" t="s">
        <v>4</v>
      </c>
      <c r="V263" s="340" t="s">
        <v>5</v>
      </c>
    </row>
    <row r="264" spans="1:22" s="350" customFormat="1" ht="21.75">
      <c r="A264" s="351" t="s">
        <v>340</v>
      </c>
      <c r="B264" s="345"/>
      <c r="C264" s="345"/>
      <c r="D264" s="345"/>
      <c r="E264" s="344">
        <v>36.82</v>
      </c>
      <c r="F264" s="344"/>
      <c r="G264" s="344"/>
      <c r="H264" s="344"/>
      <c r="I264" s="344"/>
      <c r="J264" s="344"/>
      <c r="K264" s="344"/>
      <c r="L264" s="344"/>
      <c r="M264" s="344"/>
      <c r="N264" s="344"/>
      <c r="O264" s="345"/>
      <c r="P264" s="345"/>
      <c r="Q264" s="346"/>
      <c r="R264" s="347"/>
      <c r="S264" s="348"/>
      <c r="T264" s="348"/>
      <c r="U264" s="348"/>
      <c r="V264" s="349"/>
    </row>
    <row r="265" spans="1:22" s="350" customFormat="1" ht="21.75">
      <c r="A265" s="351" t="s">
        <v>341</v>
      </c>
      <c r="B265" s="345"/>
      <c r="C265" s="345"/>
      <c r="D265" s="345"/>
      <c r="E265" s="344">
        <v>42049</v>
      </c>
      <c r="F265" s="344">
        <v>49418</v>
      </c>
      <c r="G265" s="344"/>
      <c r="H265" s="344"/>
      <c r="I265" s="344"/>
      <c r="J265" s="344"/>
      <c r="K265" s="344"/>
      <c r="L265" s="344"/>
      <c r="M265" s="344"/>
      <c r="N265" s="344"/>
      <c r="O265" s="345"/>
      <c r="P265" s="345"/>
      <c r="Q265" s="346"/>
      <c r="R265" s="347"/>
      <c r="S265" s="348"/>
      <c r="T265" s="348"/>
      <c r="U265" s="348"/>
      <c r="V265" s="349"/>
    </row>
    <row r="266" spans="1:22" s="350" customFormat="1" ht="21.75">
      <c r="A266" s="351" t="s">
        <v>342</v>
      </c>
      <c r="B266" s="345"/>
      <c r="C266" s="345"/>
      <c r="D266" s="345"/>
      <c r="E266" s="344">
        <v>6374.84</v>
      </c>
      <c r="F266" s="344">
        <v>17613.22</v>
      </c>
      <c r="G266" s="344"/>
      <c r="H266" s="344"/>
      <c r="I266" s="344"/>
      <c r="J266" s="344"/>
      <c r="K266" s="344"/>
      <c r="L266" s="344"/>
      <c r="M266" s="344"/>
      <c r="N266" s="344"/>
      <c r="O266" s="345"/>
      <c r="P266" s="345"/>
      <c r="Q266" s="346"/>
      <c r="R266" s="347"/>
      <c r="S266" s="348"/>
      <c r="T266" s="348"/>
      <c r="U266" s="348"/>
      <c r="V266" s="349"/>
    </row>
    <row r="267" spans="1:22" s="350" customFormat="1" ht="21.75">
      <c r="A267" s="351" t="s">
        <v>343</v>
      </c>
      <c r="B267" s="345"/>
      <c r="C267" s="345"/>
      <c r="D267" s="345"/>
      <c r="E267" s="344">
        <v>88580.96</v>
      </c>
      <c r="F267" s="344"/>
      <c r="G267" s="344"/>
      <c r="H267" s="344"/>
      <c r="I267" s="344"/>
      <c r="J267" s="344"/>
      <c r="K267" s="344"/>
      <c r="L267" s="344"/>
      <c r="M267" s="344"/>
      <c r="N267" s="344"/>
      <c r="O267" s="345"/>
      <c r="P267" s="345"/>
      <c r="Q267" s="346"/>
      <c r="R267" s="347"/>
      <c r="S267" s="348"/>
      <c r="T267" s="348"/>
      <c r="U267" s="348"/>
      <c r="V267" s="349"/>
    </row>
    <row r="268" spans="1:22" s="350" customFormat="1" ht="21.75">
      <c r="A268" s="351" t="s">
        <v>344</v>
      </c>
      <c r="B268" s="345"/>
      <c r="C268" s="345"/>
      <c r="D268" s="345"/>
      <c r="E268" s="344">
        <v>61400</v>
      </c>
      <c r="F268" s="344"/>
      <c r="G268" s="344"/>
      <c r="H268" s="344"/>
      <c r="I268" s="344"/>
      <c r="J268" s="344"/>
      <c r="K268" s="344"/>
      <c r="L268" s="344"/>
      <c r="M268" s="344"/>
      <c r="N268" s="344"/>
      <c r="O268" s="345"/>
      <c r="P268" s="345"/>
      <c r="Q268" s="346"/>
      <c r="R268" s="347"/>
      <c r="S268" s="348"/>
      <c r="T268" s="348"/>
      <c r="U268" s="348"/>
      <c r="V268" s="349"/>
    </row>
    <row r="269" spans="1:22" s="350" customFormat="1" ht="21.75">
      <c r="A269" s="351" t="s">
        <v>367</v>
      </c>
      <c r="B269" s="345"/>
      <c r="C269" s="345"/>
      <c r="D269" s="345"/>
      <c r="E269" s="344">
        <v>983731.25</v>
      </c>
      <c r="F269" s="344">
        <v>457390.98</v>
      </c>
      <c r="G269" s="344"/>
      <c r="H269" s="344"/>
      <c r="I269" s="344"/>
      <c r="J269" s="344"/>
      <c r="K269" s="344"/>
      <c r="L269" s="344"/>
      <c r="M269" s="344"/>
      <c r="N269" s="344"/>
      <c r="O269" s="345"/>
      <c r="P269" s="345"/>
      <c r="Q269" s="346"/>
      <c r="R269" s="347"/>
      <c r="S269" s="348"/>
      <c r="T269" s="348"/>
      <c r="U269" s="348"/>
      <c r="V269" s="349"/>
    </row>
    <row r="270" spans="1:22" s="350" customFormat="1" ht="21.75">
      <c r="A270" s="351" t="s">
        <v>368</v>
      </c>
      <c r="B270" s="345"/>
      <c r="C270" s="345"/>
      <c r="D270" s="345"/>
      <c r="E270" s="344">
        <v>3284220</v>
      </c>
      <c r="F270" s="344">
        <v>2252529</v>
      </c>
      <c r="G270" s="344"/>
      <c r="H270" s="344"/>
      <c r="I270" s="344"/>
      <c r="J270" s="344"/>
      <c r="K270" s="344"/>
      <c r="L270" s="344"/>
      <c r="M270" s="344"/>
      <c r="N270" s="344"/>
      <c r="O270" s="345"/>
      <c r="P270" s="345"/>
      <c r="Q270" s="346"/>
      <c r="R270" s="347"/>
      <c r="S270" s="348"/>
      <c r="T270" s="348"/>
      <c r="U270" s="348"/>
      <c r="V270" s="349"/>
    </row>
    <row r="271" spans="1:22" s="350" customFormat="1" ht="21.75">
      <c r="A271" s="351" t="s">
        <v>345</v>
      </c>
      <c r="B271" s="345"/>
      <c r="C271" s="345"/>
      <c r="D271" s="345"/>
      <c r="E271" s="344">
        <v>43492</v>
      </c>
      <c r="F271" s="344">
        <v>43492</v>
      </c>
      <c r="G271" s="344"/>
      <c r="H271" s="344"/>
      <c r="I271" s="344"/>
      <c r="J271" s="344"/>
      <c r="K271" s="344"/>
      <c r="L271" s="344"/>
      <c r="M271" s="344"/>
      <c r="N271" s="344"/>
      <c r="O271" s="345"/>
      <c r="P271" s="345"/>
      <c r="Q271" s="346"/>
      <c r="R271" s="347"/>
      <c r="S271" s="348"/>
      <c r="T271" s="348"/>
      <c r="U271" s="348"/>
      <c r="V271" s="349"/>
    </row>
    <row r="272" spans="1:22" s="350" customFormat="1" ht="21.75">
      <c r="A272" s="351" t="s">
        <v>346</v>
      </c>
      <c r="B272" s="345"/>
      <c r="C272" s="345"/>
      <c r="D272" s="345"/>
      <c r="E272" s="344"/>
      <c r="F272" s="344"/>
      <c r="G272" s="344"/>
      <c r="H272" s="344"/>
      <c r="I272" s="344"/>
      <c r="J272" s="344"/>
      <c r="K272" s="344"/>
      <c r="L272" s="344"/>
      <c r="M272" s="344"/>
      <c r="N272" s="344"/>
      <c r="O272" s="345"/>
      <c r="P272" s="345"/>
      <c r="Q272" s="346"/>
      <c r="R272" s="347"/>
      <c r="S272" s="348"/>
      <c r="T272" s="348"/>
      <c r="U272" s="348"/>
      <c r="V272" s="349"/>
    </row>
    <row r="273" spans="1:22" s="350" customFormat="1" ht="21.75">
      <c r="A273" s="351"/>
      <c r="B273" s="345"/>
      <c r="C273" s="345"/>
      <c r="D273" s="345"/>
      <c r="E273" s="344"/>
      <c r="F273" s="344"/>
      <c r="G273" s="344"/>
      <c r="H273" s="344"/>
      <c r="I273" s="344"/>
      <c r="J273" s="344"/>
      <c r="K273" s="344"/>
      <c r="L273" s="344"/>
      <c r="M273" s="344"/>
      <c r="N273" s="344"/>
      <c r="O273" s="345"/>
      <c r="P273" s="345"/>
      <c r="Q273" s="346"/>
      <c r="R273" s="347"/>
      <c r="S273" s="348"/>
      <c r="T273" s="348"/>
      <c r="U273" s="348"/>
      <c r="V273" s="349"/>
    </row>
    <row r="274" spans="1:22" s="350" customFormat="1" ht="21.75">
      <c r="A274" s="367" t="s">
        <v>301</v>
      </c>
      <c r="B274" s="368"/>
      <c r="C274" s="368">
        <f aca="true" t="shared" si="44" ref="C274:Q274">SUM(C264:C273)</f>
        <v>0</v>
      </c>
      <c r="D274" s="368">
        <f t="shared" si="44"/>
        <v>0</v>
      </c>
      <c r="E274" s="369">
        <f t="shared" si="44"/>
        <v>4509884.87</v>
      </c>
      <c r="F274" s="369">
        <f t="shared" si="44"/>
        <v>2820443.2</v>
      </c>
      <c r="G274" s="369">
        <f t="shared" si="44"/>
        <v>0</v>
      </c>
      <c r="H274" s="369">
        <f t="shared" si="44"/>
        <v>0</v>
      </c>
      <c r="I274" s="369">
        <f t="shared" si="44"/>
        <v>0</v>
      </c>
      <c r="J274" s="369">
        <f t="shared" si="44"/>
        <v>0</v>
      </c>
      <c r="K274" s="369">
        <f t="shared" si="44"/>
        <v>0</v>
      </c>
      <c r="L274" s="369">
        <f t="shared" si="44"/>
        <v>0</v>
      </c>
      <c r="M274" s="369">
        <f t="shared" si="44"/>
        <v>0</v>
      </c>
      <c r="N274" s="369">
        <f t="shared" si="44"/>
        <v>0</v>
      </c>
      <c r="O274" s="368">
        <f t="shared" si="44"/>
        <v>0</v>
      </c>
      <c r="P274" s="368">
        <f t="shared" si="44"/>
        <v>0</v>
      </c>
      <c r="Q274" s="370">
        <f t="shared" si="44"/>
        <v>0</v>
      </c>
      <c r="R274" s="371"/>
      <c r="S274" s="372"/>
      <c r="T274" s="372"/>
      <c r="U274" s="372"/>
      <c r="V274" s="373"/>
    </row>
    <row r="277" ht="24.75" customHeight="1">
      <c r="F277" s="78" t="s">
        <v>369</v>
      </c>
    </row>
  </sheetData>
  <sheetProtection/>
  <mergeCells count="2">
    <mergeCell ref="A1:D1"/>
    <mergeCell ref="A2:D2"/>
  </mergeCells>
  <printOptions/>
  <pageMargins left="1.7322834645669292" right="0.15748031496062992" top="0.15748031496062992" bottom="0.1968503937007874" header="0.1968503937007874" footer="0.1968503937007874"/>
  <pageSetup horizontalDpi="600" verticalDpi="600" orientation="portrait" paperSize="9" r:id="rId4"/>
  <headerFooter>
    <oddHeader>&amp;Cหน้าที่ &amp;P จาก &amp;N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3.125" style="210" customWidth="1"/>
    <col min="2" max="2" width="19.375" style="210" customWidth="1"/>
    <col min="3" max="3" width="7.25390625" style="210" customWidth="1"/>
    <col min="4" max="4" width="11.375" style="210" customWidth="1"/>
    <col min="5" max="5" width="11.625" style="210" customWidth="1"/>
    <col min="6" max="6" width="12.75390625" style="210" customWidth="1"/>
    <col min="7" max="7" width="56.00390625" style="210" customWidth="1"/>
    <col min="8" max="8" width="19.375" style="210" customWidth="1"/>
    <col min="9" max="16384" width="9.00390625" style="210" customWidth="1"/>
  </cols>
  <sheetData>
    <row r="1" spans="1:6" ht="23.25">
      <c r="A1" s="382" t="s">
        <v>231</v>
      </c>
      <c r="B1" s="382"/>
      <c r="C1" s="382"/>
      <c r="D1" s="382"/>
      <c r="E1" s="382"/>
      <c r="F1" s="382"/>
    </row>
    <row r="2" spans="1:7" ht="23.25">
      <c r="A2" s="211" t="s">
        <v>225</v>
      </c>
      <c r="B2" s="211" t="s">
        <v>0</v>
      </c>
      <c r="C2" s="211" t="s">
        <v>214</v>
      </c>
      <c r="D2" s="211" t="s">
        <v>226</v>
      </c>
      <c r="E2" s="211" t="s">
        <v>227</v>
      </c>
      <c r="F2" s="211" t="s">
        <v>228</v>
      </c>
      <c r="G2" s="211" t="s">
        <v>248</v>
      </c>
    </row>
    <row r="3" spans="1:7" ht="23.25">
      <c r="A3" s="212" t="s">
        <v>249</v>
      </c>
      <c r="B3" s="227" t="s">
        <v>215</v>
      </c>
      <c r="C3" s="213">
        <v>1</v>
      </c>
      <c r="D3" s="228">
        <v>18000</v>
      </c>
      <c r="E3" s="217">
        <f aca="true" t="shared" si="0" ref="E3:E8">D3*C3</f>
        <v>18000</v>
      </c>
      <c r="F3" s="214"/>
      <c r="G3" s="212" t="s">
        <v>250</v>
      </c>
    </row>
    <row r="4" spans="1:7" ht="23.25">
      <c r="A4" s="212"/>
      <c r="B4" s="227" t="s">
        <v>216</v>
      </c>
      <c r="C4" s="213">
        <v>2</v>
      </c>
      <c r="D4" s="229">
        <v>3900</v>
      </c>
      <c r="E4" s="217">
        <f t="shared" si="0"/>
        <v>7800</v>
      </c>
      <c r="F4" s="214"/>
      <c r="G4" s="212" t="s">
        <v>272</v>
      </c>
    </row>
    <row r="5" spans="1:7" ht="23.25">
      <c r="A5" s="212"/>
      <c r="B5" s="227" t="s">
        <v>217</v>
      </c>
      <c r="C5" s="213">
        <v>2</v>
      </c>
      <c r="D5" s="228">
        <v>18000</v>
      </c>
      <c r="E5" s="217">
        <f t="shared" si="0"/>
        <v>36000</v>
      </c>
      <c r="F5" s="214"/>
      <c r="G5" s="250" t="s">
        <v>251</v>
      </c>
    </row>
    <row r="6" spans="1:7" ht="23.25">
      <c r="A6" s="212"/>
      <c r="B6" s="230" t="s">
        <v>218</v>
      </c>
      <c r="C6" s="213">
        <v>1</v>
      </c>
      <c r="D6" s="231">
        <v>80000</v>
      </c>
      <c r="E6" s="217">
        <f t="shared" si="0"/>
        <v>80000</v>
      </c>
      <c r="F6" s="214"/>
      <c r="G6" s="212" t="s">
        <v>253</v>
      </c>
    </row>
    <row r="7" spans="1:7" ht="23.25">
      <c r="A7" s="212"/>
      <c r="B7" s="230" t="s">
        <v>219</v>
      </c>
      <c r="C7" s="213">
        <v>3</v>
      </c>
      <c r="D7" s="232">
        <v>100000</v>
      </c>
      <c r="E7" s="217">
        <f t="shared" si="0"/>
        <v>300000</v>
      </c>
      <c r="F7" s="214"/>
      <c r="G7" s="212" t="s">
        <v>254</v>
      </c>
    </row>
    <row r="8" spans="1:7" ht="23.25">
      <c r="A8" s="212"/>
      <c r="B8" s="230" t="s">
        <v>220</v>
      </c>
      <c r="C8" s="213">
        <v>1</v>
      </c>
      <c r="D8" s="232">
        <v>15000</v>
      </c>
      <c r="E8" s="217">
        <f t="shared" si="0"/>
        <v>15000</v>
      </c>
      <c r="F8" s="218">
        <f>E8+E7+E6+E5+E4+E3</f>
        <v>456800</v>
      </c>
      <c r="G8" s="212" t="s">
        <v>255</v>
      </c>
    </row>
    <row r="9" spans="1:7" ht="23.25">
      <c r="A9" s="212"/>
      <c r="B9" s="230"/>
      <c r="C9" s="213"/>
      <c r="D9" s="232"/>
      <c r="E9" s="217"/>
      <c r="F9" s="245"/>
      <c r="G9" s="212"/>
    </row>
    <row r="10" spans="1:7" ht="23.25">
      <c r="A10" s="212" t="s">
        <v>252</v>
      </c>
      <c r="B10" s="212"/>
      <c r="C10" s="213"/>
      <c r="D10" s="212"/>
      <c r="E10" s="212"/>
      <c r="F10" s="212"/>
      <c r="G10" s="212"/>
    </row>
    <row r="11" spans="1:7" ht="23.25">
      <c r="A11" s="212"/>
      <c r="B11" s="227" t="s">
        <v>222</v>
      </c>
      <c r="C11" s="213">
        <v>2</v>
      </c>
      <c r="D11" s="233">
        <v>15000</v>
      </c>
      <c r="E11" s="214">
        <f>D11*C11</f>
        <v>30000</v>
      </c>
      <c r="F11" s="214"/>
      <c r="G11" s="212" t="s">
        <v>256</v>
      </c>
    </row>
    <row r="12" spans="1:7" ht="23.25">
      <c r="A12" s="216"/>
      <c r="B12" s="227" t="s">
        <v>223</v>
      </c>
      <c r="C12" s="213">
        <v>1</v>
      </c>
      <c r="D12" s="233">
        <v>10000</v>
      </c>
      <c r="E12" s="214">
        <f>D12*C12</f>
        <v>10000</v>
      </c>
      <c r="F12" s="214"/>
      <c r="G12" s="212" t="s">
        <v>271</v>
      </c>
    </row>
    <row r="13" spans="1:7" ht="23.25">
      <c r="A13" s="212"/>
      <c r="B13" s="227" t="s">
        <v>224</v>
      </c>
      <c r="C13" s="213">
        <v>1</v>
      </c>
      <c r="D13" s="233">
        <v>5000</v>
      </c>
      <c r="E13" s="214">
        <f>D13*C13</f>
        <v>5000</v>
      </c>
      <c r="F13" s="218">
        <f>SUM(E11:E13)</f>
        <v>45000</v>
      </c>
      <c r="G13" s="212" t="s">
        <v>270</v>
      </c>
    </row>
    <row r="14" spans="1:7" ht="23.25">
      <c r="A14" s="212"/>
      <c r="B14" s="227"/>
      <c r="C14" s="213"/>
      <c r="D14" s="233"/>
      <c r="E14" s="214"/>
      <c r="F14" s="245"/>
      <c r="G14" s="212"/>
    </row>
    <row r="15" spans="1:7" ht="23.25">
      <c r="A15" s="212" t="s">
        <v>258</v>
      </c>
      <c r="B15" s="230" t="s">
        <v>221</v>
      </c>
      <c r="C15" s="213">
        <v>1</v>
      </c>
      <c r="D15" s="232">
        <v>15000</v>
      </c>
      <c r="E15" s="219">
        <f>D15*C15</f>
        <v>15000</v>
      </c>
      <c r="F15" s="235"/>
      <c r="G15" s="212" t="s">
        <v>260</v>
      </c>
    </row>
    <row r="16" spans="1:7" ht="23.25">
      <c r="A16" s="212"/>
      <c r="B16" s="224" t="s">
        <v>242</v>
      </c>
      <c r="C16" s="213">
        <v>8</v>
      </c>
      <c r="D16" s="244">
        <v>2000</v>
      </c>
      <c r="E16" s="219">
        <f>D16*C16</f>
        <v>16000</v>
      </c>
      <c r="F16" s="235"/>
      <c r="G16" s="212" t="s">
        <v>261</v>
      </c>
    </row>
    <row r="17" spans="1:7" ht="23.25">
      <c r="A17" s="212"/>
      <c r="B17" s="224" t="s">
        <v>243</v>
      </c>
      <c r="C17" s="213">
        <v>7</v>
      </c>
      <c r="D17" s="244">
        <v>300</v>
      </c>
      <c r="E17" s="219">
        <f>D17*C17</f>
        <v>2100</v>
      </c>
      <c r="F17" s="220">
        <f>E17+E16+E15</f>
        <v>33100</v>
      </c>
      <c r="G17" s="212" t="s">
        <v>262</v>
      </c>
    </row>
    <row r="18" spans="1:7" ht="23.25">
      <c r="A18" s="212"/>
      <c r="B18" s="224"/>
      <c r="C18" s="213"/>
      <c r="D18" s="244"/>
      <c r="E18" s="219"/>
      <c r="F18" s="235"/>
      <c r="G18" s="212"/>
    </row>
    <row r="19" spans="1:7" ht="23.25">
      <c r="A19" s="212" t="s">
        <v>229</v>
      </c>
      <c r="B19" s="212" t="s">
        <v>230</v>
      </c>
      <c r="C19" s="213">
        <v>1</v>
      </c>
      <c r="D19" s="247">
        <f>300000+1544.452</f>
        <v>301544.452</v>
      </c>
      <c r="E19" s="247">
        <f>300000+1544.452</f>
        <v>301544.452</v>
      </c>
      <c r="F19" s="246">
        <f>300000+1544.452</f>
        <v>301544.452</v>
      </c>
      <c r="G19" s="212" t="s">
        <v>259</v>
      </c>
    </row>
    <row r="20" spans="1:7" ht="23.25">
      <c r="A20" s="212"/>
      <c r="B20" s="212"/>
      <c r="C20" s="213"/>
      <c r="D20" s="215"/>
      <c r="E20" s="215"/>
      <c r="F20" s="222"/>
      <c r="G20" s="212"/>
    </row>
    <row r="21" spans="1:7" ht="23.25">
      <c r="A21" s="212" t="s">
        <v>232</v>
      </c>
      <c r="B21" s="227" t="s">
        <v>233</v>
      </c>
      <c r="C21" s="213">
        <v>1</v>
      </c>
      <c r="D21" s="226">
        <v>890</v>
      </c>
      <c r="E21" s="215">
        <v>1000</v>
      </c>
      <c r="F21" s="212"/>
      <c r="G21" s="212" t="s">
        <v>257</v>
      </c>
    </row>
    <row r="22" spans="1:7" ht="23.25">
      <c r="A22" s="212"/>
      <c r="B22" s="227" t="s">
        <v>234</v>
      </c>
      <c r="C22" s="213">
        <v>1</v>
      </c>
      <c r="D22" s="226">
        <v>10000</v>
      </c>
      <c r="E22" s="215">
        <f aca="true" t="shared" si="1" ref="E22:E33">D22*C22</f>
        <v>10000</v>
      </c>
      <c r="F22" s="212"/>
      <c r="G22" s="212" t="s">
        <v>263</v>
      </c>
    </row>
    <row r="23" spans="1:12" ht="23.25">
      <c r="A23" s="212"/>
      <c r="B23" s="227" t="s">
        <v>235</v>
      </c>
      <c r="C23" s="213">
        <v>1</v>
      </c>
      <c r="D23" s="226">
        <v>9000</v>
      </c>
      <c r="E23" s="215">
        <f t="shared" si="1"/>
        <v>9000</v>
      </c>
      <c r="F23" s="222"/>
      <c r="G23" s="212" t="s">
        <v>273</v>
      </c>
      <c r="J23" s="238"/>
      <c r="K23" s="239"/>
      <c r="L23" s="240"/>
    </row>
    <row r="24" spans="1:12" ht="23.25">
      <c r="A24" s="212"/>
      <c r="B24" s="227" t="s">
        <v>238</v>
      </c>
      <c r="C24" s="213">
        <v>1</v>
      </c>
      <c r="D24" s="226">
        <v>60000</v>
      </c>
      <c r="E24" s="215">
        <f t="shared" si="1"/>
        <v>60000</v>
      </c>
      <c r="F24" s="221">
        <f>E24+E23+E22+E21</f>
        <v>80000</v>
      </c>
      <c r="G24" s="212" t="s">
        <v>264</v>
      </c>
      <c r="J24" s="238"/>
      <c r="K24" s="239"/>
      <c r="L24" s="240"/>
    </row>
    <row r="25" spans="1:12" ht="23.25">
      <c r="A25" s="212"/>
      <c r="B25" s="227"/>
      <c r="C25" s="213"/>
      <c r="D25" s="226"/>
      <c r="E25" s="215"/>
      <c r="F25" s="222"/>
      <c r="G25" s="212"/>
      <c r="J25" s="238"/>
      <c r="K25" s="239"/>
      <c r="L25" s="240"/>
    </row>
    <row r="26" spans="1:7" ht="23.25">
      <c r="A26" s="212" t="s">
        <v>236</v>
      </c>
      <c r="B26" s="212" t="s">
        <v>237</v>
      </c>
      <c r="C26" s="213">
        <v>1</v>
      </c>
      <c r="D26" s="215">
        <v>60000</v>
      </c>
      <c r="E26" s="215">
        <f t="shared" si="1"/>
        <v>60000</v>
      </c>
      <c r="F26" s="222"/>
      <c r="G26" s="212" t="s">
        <v>265</v>
      </c>
    </row>
    <row r="27" spans="1:8" ht="23.25">
      <c r="A27" s="212"/>
      <c r="B27" s="224" t="s">
        <v>239</v>
      </c>
      <c r="C27" s="213">
        <v>5</v>
      </c>
      <c r="D27" s="225">
        <v>12500</v>
      </c>
      <c r="E27" s="215">
        <f t="shared" si="1"/>
        <v>62500</v>
      </c>
      <c r="F27" s="221">
        <f>E27+E26</f>
        <v>122500</v>
      </c>
      <c r="G27" s="212" t="s">
        <v>266</v>
      </c>
      <c r="H27" s="234"/>
    </row>
    <row r="28" spans="1:8" ht="23.25">
      <c r="A28" s="212"/>
      <c r="B28" s="224"/>
      <c r="C28" s="213"/>
      <c r="D28" s="225"/>
      <c r="E28" s="215"/>
      <c r="F28" s="222"/>
      <c r="G28" s="212"/>
      <c r="H28" s="234"/>
    </row>
    <row r="29" spans="1:7" ht="23.25">
      <c r="A29" s="212" t="s">
        <v>240</v>
      </c>
      <c r="B29" s="224" t="s">
        <v>241</v>
      </c>
      <c r="C29" s="213">
        <v>1</v>
      </c>
      <c r="D29" s="223">
        <v>4000</v>
      </c>
      <c r="E29" s="215">
        <f t="shared" si="1"/>
        <v>4000</v>
      </c>
      <c r="F29" s="218">
        <f>E29</f>
        <v>4000</v>
      </c>
      <c r="G29" s="212" t="s">
        <v>267</v>
      </c>
    </row>
    <row r="30" spans="1:7" ht="23.25">
      <c r="A30" s="212"/>
      <c r="B30" s="224"/>
      <c r="C30" s="213"/>
      <c r="D30" s="223"/>
      <c r="E30" s="215"/>
      <c r="F30" s="245"/>
      <c r="G30" s="212"/>
    </row>
    <row r="31" spans="1:7" ht="23.25">
      <c r="A31" s="212" t="s">
        <v>244</v>
      </c>
      <c r="B31" s="224" t="s">
        <v>245</v>
      </c>
      <c r="C31" s="237">
        <v>1</v>
      </c>
      <c r="D31" s="225">
        <v>24000</v>
      </c>
      <c r="E31" s="215">
        <f t="shared" si="1"/>
        <v>24000</v>
      </c>
      <c r="F31" s="218">
        <f>E31</f>
        <v>24000</v>
      </c>
      <c r="G31" s="212" t="s">
        <v>268</v>
      </c>
    </row>
    <row r="32" spans="1:7" ht="23.25">
      <c r="A32" s="212"/>
      <c r="B32" s="224"/>
      <c r="C32" s="237"/>
      <c r="D32" s="225"/>
      <c r="E32" s="215"/>
      <c r="F32" s="245"/>
      <c r="G32" s="249"/>
    </row>
    <row r="33" spans="1:7" ht="23.25">
      <c r="A33" s="212" t="s">
        <v>246</v>
      </c>
      <c r="B33" s="224" t="s">
        <v>245</v>
      </c>
      <c r="C33" s="237">
        <v>3</v>
      </c>
      <c r="D33" s="225">
        <v>24000</v>
      </c>
      <c r="E33" s="215">
        <f t="shared" si="1"/>
        <v>72000</v>
      </c>
      <c r="F33" s="218">
        <f>E33</f>
        <v>72000</v>
      </c>
      <c r="G33" s="212" t="s">
        <v>269</v>
      </c>
    </row>
    <row r="34" spans="1:7" ht="23.25">
      <c r="A34" s="383" t="s">
        <v>247</v>
      </c>
      <c r="B34" s="383"/>
      <c r="C34" s="383"/>
      <c r="D34" s="383"/>
      <c r="E34" s="383"/>
      <c r="F34" s="248">
        <f>SUM(F3:F33)</f>
        <v>1138944.452</v>
      </c>
      <c r="G34" s="249"/>
    </row>
    <row r="35" spans="1:7" ht="23.25">
      <c r="A35" s="241"/>
      <c r="B35" s="241"/>
      <c r="C35" s="242"/>
      <c r="D35" s="241"/>
      <c r="E35" s="241"/>
      <c r="F35" s="241"/>
      <c r="G35" s="234"/>
    </row>
    <row r="36" spans="1:6" ht="23.25">
      <c r="A36" s="241"/>
      <c r="B36" s="241"/>
      <c r="C36" s="242"/>
      <c r="D36" s="241"/>
      <c r="E36" s="241"/>
      <c r="F36" s="241"/>
    </row>
    <row r="37" spans="1:6" ht="23.25">
      <c r="A37" s="241"/>
      <c r="B37" s="241"/>
      <c r="C37" s="242"/>
      <c r="D37" s="241"/>
      <c r="E37" s="241"/>
      <c r="F37" s="241"/>
    </row>
    <row r="38" spans="1:6" ht="23.25">
      <c r="A38" s="241"/>
      <c r="B38" s="241"/>
      <c r="C38" s="242"/>
      <c r="D38" s="241"/>
      <c r="E38" s="241"/>
      <c r="F38" s="241"/>
    </row>
    <row r="39" spans="1:6" ht="23.25">
      <c r="A39" s="241"/>
      <c r="B39" s="241"/>
      <c r="C39" s="242"/>
      <c r="D39" s="241"/>
      <c r="E39" s="241"/>
      <c r="F39" s="241"/>
    </row>
    <row r="40" spans="1:8" ht="27" customHeight="1">
      <c r="A40" s="241"/>
      <c r="B40" s="241"/>
      <c r="C40" s="242"/>
      <c r="D40" s="241"/>
      <c r="E40" s="241"/>
      <c r="F40" s="243"/>
      <c r="H40" s="22"/>
    </row>
    <row r="41" spans="1:8" ht="23.25">
      <c r="A41" s="241"/>
      <c r="B41" s="241"/>
      <c r="C41" s="242"/>
      <c r="D41" s="241"/>
      <c r="E41" s="241"/>
      <c r="F41" s="241"/>
      <c r="H41" s="236"/>
    </row>
    <row r="42" spans="1:6" ht="23.25">
      <c r="A42" s="241"/>
      <c r="B42" s="241"/>
      <c r="C42" s="242"/>
      <c r="D42" s="241"/>
      <c r="E42" s="241"/>
      <c r="F42" s="241"/>
    </row>
    <row r="43" spans="1:6" ht="23.25">
      <c r="A43" s="241"/>
      <c r="B43" s="241"/>
      <c r="C43" s="242"/>
      <c r="D43" s="241"/>
      <c r="E43" s="241"/>
      <c r="F43" s="241"/>
    </row>
    <row r="44" spans="1:6" ht="23.25">
      <c r="A44" s="241"/>
      <c r="B44" s="241"/>
      <c r="C44" s="242"/>
      <c r="D44" s="241"/>
      <c r="E44" s="241"/>
      <c r="F44" s="241"/>
    </row>
    <row r="45" spans="1:6" ht="23.25">
      <c r="A45" s="241"/>
      <c r="B45" s="241"/>
      <c r="C45" s="242"/>
      <c r="D45" s="241"/>
      <c r="E45" s="241"/>
      <c r="F45" s="241"/>
    </row>
    <row r="46" spans="1:6" ht="23.25">
      <c r="A46" s="241"/>
      <c r="B46" s="241"/>
      <c r="C46" s="242"/>
      <c r="D46" s="241"/>
      <c r="E46" s="241"/>
      <c r="F46" s="241"/>
    </row>
    <row r="47" spans="1:6" ht="23.25">
      <c r="A47" s="241"/>
      <c r="B47" s="241"/>
      <c r="C47" s="242"/>
      <c r="D47" s="241"/>
      <c r="E47" s="241"/>
      <c r="F47" s="241"/>
    </row>
    <row r="48" spans="1:6" ht="23.25">
      <c r="A48" s="241"/>
      <c r="B48" s="241"/>
      <c r="C48" s="242"/>
      <c r="D48" s="241"/>
      <c r="E48" s="241"/>
      <c r="F48" s="241"/>
    </row>
    <row r="49" spans="1:6" ht="23.25">
      <c r="A49" s="241"/>
      <c r="B49" s="241"/>
      <c r="C49" s="242"/>
      <c r="D49" s="241"/>
      <c r="E49" s="241"/>
      <c r="F49" s="241"/>
    </row>
    <row r="50" spans="1:6" ht="23.25">
      <c r="A50" s="241"/>
      <c r="B50" s="241"/>
      <c r="C50" s="242"/>
      <c r="D50" s="241"/>
      <c r="E50" s="241"/>
      <c r="F50" s="241"/>
    </row>
    <row r="51" spans="1:6" ht="23.25">
      <c r="A51" s="241"/>
      <c r="B51" s="241"/>
      <c r="C51" s="242"/>
      <c r="D51" s="241"/>
      <c r="E51" s="241"/>
      <c r="F51" s="241"/>
    </row>
    <row r="52" spans="1:6" ht="23.25">
      <c r="A52" s="241"/>
      <c r="B52" s="241"/>
      <c r="C52" s="242"/>
      <c r="D52" s="241"/>
      <c r="E52" s="241"/>
      <c r="F52" s="241"/>
    </row>
    <row r="53" spans="1:6" ht="23.25">
      <c r="A53" s="241"/>
      <c r="B53" s="241"/>
      <c r="C53" s="242"/>
      <c r="D53" s="241"/>
      <c r="E53" s="241"/>
      <c r="F53" s="241"/>
    </row>
    <row r="54" spans="1:6" ht="23.25">
      <c r="A54" s="241"/>
      <c r="B54" s="241"/>
      <c r="C54" s="242"/>
      <c r="D54" s="241"/>
      <c r="E54" s="241"/>
      <c r="F54" s="241"/>
    </row>
    <row r="55" spans="1:6" ht="23.25">
      <c r="A55" s="241"/>
      <c r="B55" s="241"/>
      <c r="C55" s="242"/>
      <c r="D55" s="241"/>
      <c r="E55" s="241"/>
      <c r="F55" s="241"/>
    </row>
    <row r="56" spans="1:6" ht="23.25">
      <c r="A56" s="241"/>
      <c r="B56" s="241"/>
      <c r="C56" s="242"/>
      <c r="D56" s="241"/>
      <c r="E56" s="241"/>
      <c r="F56" s="241"/>
    </row>
    <row r="57" spans="1:6" ht="23.25">
      <c r="A57" s="241"/>
      <c r="B57" s="241"/>
      <c r="C57" s="242"/>
      <c r="D57" s="241"/>
      <c r="E57" s="241"/>
      <c r="F57" s="241"/>
    </row>
    <row r="58" spans="1:6" ht="23.25">
      <c r="A58" s="241"/>
      <c r="B58" s="241"/>
      <c r="C58" s="242"/>
      <c r="D58" s="241"/>
      <c r="E58" s="241"/>
      <c r="F58" s="241"/>
    </row>
    <row r="59" spans="1:6" ht="23.25">
      <c r="A59" s="241"/>
      <c r="B59" s="241"/>
      <c r="C59" s="242"/>
      <c r="D59" s="241"/>
      <c r="E59" s="241"/>
      <c r="F59" s="241"/>
    </row>
    <row r="60" spans="1:6" ht="23.25">
      <c r="A60" s="241"/>
      <c r="B60" s="241"/>
      <c r="C60" s="242"/>
      <c r="D60" s="241"/>
      <c r="E60" s="241"/>
      <c r="F60" s="241"/>
    </row>
    <row r="61" spans="1:6" ht="23.25">
      <c r="A61" s="241"/>
      <c r="B61" s="241"/>
      <c r="C61" s="242"/>
      <c r="D61" s="241"/>
      <c r="E61" s="241"/>
      <c r="F61" s="241"/>
    </row>
    <row r="62" spans="1:6" ht="23.25">
      <c r="A62" s="241"/>
      <c r="B62" s="241"/>
      <c r="C62" s="242"/>
      <c r="D62" s="241"/>
      <c r="E62" s="241"/>
      <c r="F62" s="241"/>
    </row>
    <row r="63" spans="1:6" ht="23.25">
      <c r="A63" s="241"/>
      <c r="B63" s="241"/>
      <c r="C63" s="242"/>
      <c r="D63" s="241"/>
      <c r="E63" s="241"/>
      <c r="F63" s="241"/>
    </row>
    <row r="64" spans="1:6" ht="23.25">
      <c r="A64" s="241"/>
      <c r="B64" s="241"/>
      <c r="C64" s="242"/>
      <c r="D64" s="241"/>
      <c r="E64" s="241"/>
      <c r="F64" s="241"/>
    </row>
    <row r="65" spans="1:6" ht="23.25">
      <c r="A65" s="241"/>
      <c r="B65" s="241"/>
      <c r="C65" s="242"/>
      <c r="D65" s="241"/>
      <c r="E65" s="241"/>
      <c r="F65" s="241"/>
    </row>
    <row r="66" spans="1:6" ht="23.25">
      <c r="A66" s="241"/>
      <c r="B66" s="241"/>
      <c r="C66" s="242"/>
      <c r="D66" s="241"/>
      <c r="E66" s="241"/>
      <c r="F66" s="241"/>
    </row>
    <row r="67" spans="1:6" ht="23.25">
      <c r="A67" s="241"/>
      <c r="B67" s="241"/>
      <c r="C67" s="242"/>
      <c r="D67" s="241"/>
      <c r="E67" s="241"/>
      <c r="F67" s="241"/>
    </row>
    <row r="68" spans="1:6" ht="23.25">
      <c r="A68" s="241"/>
      <c r="B68" s="241"/>
      <c r="C68" s="242"/>
      <c r="D68" s="241"/>
      <c r="E68" s="241"/>
      <c r="F68" s="241"/>
    </row>
    <row r="69" spans="1:6" ht="23.25">
      <c r="A69" s="241"/>
      <c r="B69" s="241"/>
      <c r="C69" s="241"/>
      <c r="D69" s="241"/>
      <c r="E69" s="241"/>
      <c r="F69" s="241"/>
    </row>
    <row r="70" spans="1:6" ht="23.25">
      <c r="A70" s="241"/>
      <c r="B70" s="241"/>
      <c r="C70" s="241"/>
      <c r="D70" s="241"/>
      <c r="E70" s="241"/>
      <c r="F70" s="241"/>
    </row>
    <row r="71" spans="1:6" ht="23.25">
      <c r="A71" s="241"/>
      <c r="B71" s="241"/>
      <c r="C71" s="241"/>
      <c r="D71" s="241"/>
      <c r="E71" s="241"/>
      <c r="F71" s="241"/>
    </row>
    <row r="72" spans="1:6" ht="23.25">
      <c r="A72" s="241"/>
      <c r="B72" s="241"/>
      <c r="C72" s="241"/>
      <c r="D72" s="241"/>
      <c r="E72" s="241"/>
      <c r="F72" s="241"/>
    </row>
    <row r="73" spans="1:6" ht="23.25">
      <c r="A73" s="241"/>
      <c r="B73" s="241"/>
      <c r="C73" s="241"/>
      <c r="D73" s="241"/>
      <c r="E73" s="241"/>
      <c r="F73" s="241"/>
    </row>
    <row r="74" spans="1:6" ht="23.25">
      <c r="A74" s="241"/>
      <c r="B74" s="241"/>
      <c r="C74" s="241"/>
      <c r="D74" s="241"/>
      <c r="E74" s="241"/>
      <c r="F74" s="241"/>
    </row>
    <row r="75" spans="1:6" ht="23.25">
      <c r="A75" s="241"/>
      <c r="B75" s="241"/>
      <c r="C75" s="241"/>
      <c r="D75" s="241"/>
      <c r="E75" s="241"/>
      <c r="F75" s="241"/>
    </row>
    <row r="76" spans="1:6" ht="23.25">
      <c r="A76" s="241"/>
      <c r="B76" s="241"/>
      <c r="C76" s="241"/>
      <c r="D76" s="241"/>
      <c r="E76" s="241"/>
      <c r="F76" s="241"/>
    </row>
    <row r="77" spans="1:6" ht="23.25">
      <c r="A77" s="241"/>
      <c r="B77" s="241"/>
      <c r="C77" s="241"/>
      <c r="D77" s="241"/>
      <c r="E77" s="241"/>
      <c r="F77" s="241"/>
    </row>
    <row r="78" spans="1:6" ht="23.25">
      <c r="A78" s="241"/>
      <c r="B78" s="241"/>
      <c r="C78" s="241"/>
      <c r="D78" s="241"/>
      <c r="E78" s="241"/>
      <c r="F78" s="241"/>
    </row>
    <row r="79" spans="1:6" ht="23.25">
      <c r="A79" s="241"/>
      <c r="B79" s="241"/>
      <c r="C79" s="241"/>
      <c r="D79" s="241"/>
      <c r="E79" s="241"/>
      <c r="F79" s="241"/>
    </row>
    <row r="80" spans="1:6" ht="23.25">
      <c r="A80" s="241"/>
      <c r="B80" s="241"/>
      <c r="C80" s="241"/>
      <c r="D80" s="241"/>
      <c r="E80" s="241"/>
      <c r="F80" s="241"/>
    </row>
    <row r="81" spans="1:6" ht="23.25">
      <c r="A81" s="241"/>
      <c r="B81" s="241"/>
      <c r="C81" s="241"/>
      <c r="D81" s="241"/>
      <c r="E81" s="241"/>
      <c r="F81" s="241"/>
    </row>
    <row r="82" spans="1:6" ht="23.25">
      <c r="A82" s="241"/>
      <c r="B82" s="241"/>
      <c r="C82" s="241"/>
      <c r="D82" s="241"/>
      <c r="E82" s="241"/>
      <c r="F82" s="241"/>
    </row>
    <row r="83" spans="1:6" ht="23.25">
      <c r="A83" s="241"/>
      <c r="B83" s="241"/>
      <c r="C83" s="241"/>
      <c r="D83" s="241"/>
      <c r="E83" s="241"/>
      <c r="F83" s="241"/>
    </row>
    <row r="84" spans="1:6" ht="23.25">
      <c r="A84" s="241"/>
      <c r="B84" s="241"/>
      <c r="C84" s="241"/>
      <c r="D84" s="241"/>
      <c r="E84" s="241"/>
      <c r="F84" s="241"/>
    </row>
    <row r="85" spans="1:6" ht="23.25">
      <c r="A85" s="241"/>
      <c r="B85" s="241"/>
      <c r="C85" s="241"/>
      <c r="D85" s="241"/>
      <c r="E85" s="241"/>
      <c r="F85" s="241"/>
    </row>
    <row r="86" spans="1:6" ht="23.25">
      <c r="A86" s="241"/>
      <c r="B86" s="241"/>
      <c r="C86" s="241"/>
      <c r="D86" s="241"/>
      <c r="E86" s="241"/>
      <c r="F86" s="241"/>
    </row>
    <row r="87" spans="1:6" ht="23.25">
      <c r="A87" s="241"/>
      <c r="B87" s="241"/>
      <c r="C87" s="241"/>
      <c r="D87" s="241"/>
      <c r="E87" s="241"/>
      <c r="F87" s="241"/>
    </row>
    <row r="88" spans="1:6" ht="23.25">
      <c r="A88" s="241"/>
      <c r="B88" s="241"/>
      <c r="C88" s="241"/>
      <c r="D88" s="241"/>
      <c r="E88" s="241"/>
      <c r="F88" s="241"/>
    </row>
    <row r="89" spans="1:6" ht="23.25">
      <c r="A89" s="241"/>
      <c r="B89" s="241"/>
      <c r="C89" s="241"/>
      <c r="D89" s="241"/>
      <c r="E89" s="241"/>
      <c r="F89" s="241"/>
    </row>
    <row r="90" spans="1:6" ht="23.25">
      <c r="A90" s="241"/>
      <c r="B90" s="241"/>
      <c r="C90" s="241"/>
      <c r="D90" s="241"/>
      <c r="E90" s="241"/>
      <c r="F90" s="241"/>
    </row>
    <row r="91" spans="1:6" ht="23.25">
      <c r="A91" s="241"/>
      <c r="B91" s="241"/>
      <c r="C91" s="241"/>
      <c r="D91" s="241"/>
      <c r="E91" s="241"/>
      <c r="F91" s="241"/>
    </row>
  </sheetData>
  <sheetProtection/>
  <mergeCells count="2">
    <mergeCell ref="A1:F1"/>
    <mergeCell ref="A34:E34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 Master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Sma_tr. New 2009 !!!!</dc:creator>
  <cp:keywords/>
  <dc:description/>
  <cp:lastModifiedBy>management</cp:lastModifiedBy>
  <cp:lastPrinted>2016-11-24T08:54:14Z</cp:lastPrinted>
  <dcterms:created xsi:type="dcterms:W3CDTF">2015-08-31T08:30:51Z</dcterms:created>
  <dcterms:modified xsi:type="dcterms:W3CDTF">2016-12-29T04:17:27Z</dcterms:modified>
  <cp:category/>
  <cp:version/>
  <cp:contentType/>
  <cp:contentStatus/>
</cp:coreProperties>
</file>